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filterPrivacy="1"/>
  <bookViews>
    <workbookView xWindow="0" yWindow="0" windowWidth="22260" windowHeight="12645" tabRatio="795" xr2:uid="{00000000-000D-0000-FFFF-FFFF00000000}"/>
  </bookViews>
  <sheets>
    <sheet name="Top page" sheetId="11" r:id="rId1"/>
    <sheet name="Balance Sheet" sheetId="5" r:id="rId2"/>
    <sheet name="Income Statement" sheetId="8" r:id="rId3"/>
    <sheet name="Financial Highlights" sheetId="16" r:id="rId4"/>
    <sheet name="BS Xero" sheetId="13" state="hidden" r:id="rId5"/>
    <sheet name="IS Xero" sheetId="14" state="hidden" r:id="rId6"/>
  </sheets>
  <definedNames>
    <definedName name="_xlnm.Print_Area" localSheetId="1">'Balance Sheet'!$C$1:$S$53</definedName>
    <definedName name="_xlnm.Print_Area" localSheetId="3">'Financial Highlights'!$A$1:$J$91</definedName>
    <definedName name="_xlnm.Print_Area" localSheetId="2">'Income Statement'!$C$1:$AB$39</definedName>
    <definedName name="_xlnm.Print_Area" localSheetId="0">'Top page'!$B$5:$L$47</definedName>
    <definedName name="_xlnm.Print_Titles" localSheetId="3">'Financial Highlights'!$1:$5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6" l="1"/>
  <c r="F62" i="16" l="1"/>
  <c r="E62" i="16"/>
  <c r="D62" i="16"/>
  <c r="G61" i="16"/>
  <c r="G60" i="16"/>
  <c r="G59" i="16"/>
  <c r="G58" i="16"/>
  <c r="G57" i="16"/>
  <c r="G56" i="16"/>
  <c r="C32" i="16"/>
  <c r="D32" i="16"/>
  <c r="E32" i="16"/>
  <c r="F32" i="16"/>
  <c r="F49" i="13"/>
  <c r="E49" i="13"/>
  <c r="D49" i="13"/>
  <c r="C49" i="13"/>
  <c r="B49" i="13"/>
  <c r="E38" i="13"/>
  <c r="F36" i="13"/>
  <c r="F38" i="13" s="1"/>
  <c r="E36" i="13"/>
  <c r="D36" i="13"/>
  <c r="D38" i="13" s="1"/>
  <c r="C36" i="13"/>
  <c r="C38" i="13" s="1"/>
  <c r="B36" i="13"/>
  <c r="B38" i="13" s="1"/>
  <c r="C28" i="13"/>
  <c r="C40" i="13" s="1"/>
  <c r="F26" i="13"/>
  <c r="E26" i="13"/>
  <c r="D26" i="13"/>
  <c r="C26" i="13"/>
  <c r="B26" i="13"/>
  <c r="F19" i="13"/>
  <c r="E19" i="13"/>
  <c r="D19" i="13"/>
  <c r="C19" i="13"/>
  <c r="B19" i="13"/>
  <c r="F13" i="13"/>
  <c r="F28" i="13" s="1"/>
  <c r="F40" i="13" s="1"/>
  <c r="E13" i="13"/>
  <c r="E28" i="13" s="1"/>
  <c r="E40" i="13" s="1"/>
  <c r="D13" i="13"/>
  <c r="D28" i="13" s="1"/>
  <c r="D40" i="13" s="1"/>
  <c r="C13" i="13"/>
  <c r="B13" i="13"/>
  <c r="B28" i="13" s="1"/>
  <c r="B40" i="13" s="1"/>
  <c r="G62" i="16" l="1"/>
  <c r="F34" i="14"/>
  <c r="E34" i="14"/>
  <c r="D34" i="14"/>
  <c r="C34" i="14"/>
  <c r="B34" i="14"/>
  <c r="E19" i="14"/>
  <c r="E36" i="14" s="1"/>
  <c r="F17" i="14"/>
  <c r="E17" i="14"/>
  <c r="D17" i="14"/>
  <c r="C17" i="14"/>
  <c r="B17" i="14"/>
  <c r="F10" i="14"/>
  <c r="F19" i="14" s="1"/>
  <c r="F36" i="14" s="1"/>
  <c r="E10" i="14"/>
  <c r="D10" i="14"/>
  <c r="D19" i="14" s="1"/>
  <c r="D36" i="14" s="1"/>
  <c r="C10" i="14"/>
  <c r="C19" i="14" s="1"/>
  <c r="C36" i="14" s="1"/>
  <c r="B10" i="14"/>
  <c r="B19" i="14" s="1"/>
  <c r="B36" i="14" s="1"/>
  <c r="F35" i="16" l="1"/>
  <c r="E35" i="16"/>
  <c r="D35" i="16"/>
  <c r="C35" i="16"/>
  <c r="G31" i="16"/>
  <c r="Q32" i="5"/>
  <c r="N32" i="5"/>
  <c r="K32" i="5"/>
  <c r="H32" i="5"/>
  <c r="E32" i="5"/>
  <c r="C36" i="16" l="1"/>
  <c r="G27" i="16"/>
  <c r="G28" i="16"/>
  <c r="E34" i="5"/>
  <c r="E33" i="5"/>
  <c r="E36" i="5" s="1"/>
  <c r="E48" i="5"/>
  <c r="Q44" i="5"/>
  <c r="N44" i="5"/>
  <c r="K44" i="5"/>
  <c r="H44" i="5"/>
  <c r="E44" i="5"/>
  <c r="K12" i="5"/>
  <c r="H12" i="5"/>
  <c r="E12" i="5"/>
  <c r="E20" i="8"/>
  <c r="I20" i="8"/>
  <c r="M20" i="8"/>
  <c r="Q20" i="8"/>
  <c r="Z20" i="8"/>
  <c r="V20" i="8" s="1"/>
  <c r="E21" i="8"/>
  <c r="I21" i="8"/>
  <c r="M21" i="8"/>
  <c r="Q21" i="8"/>
  <c r="Z21" i="8"/>
  <c r="E22" i="8"/>
  <c r="I22" i="8"/>
  <c r="M22" i="8"/>
  <c r="Q22" i="8"/>
  <c r="Z22" i="8"/>
  <c r="E23" i="8"/>
  <c r="I23" i="8"/>
  <c r="M23" i="8"/>
  <c r="Q23" i="8"/>
  <c r="Z23" i="8"/>
  <c r="E24" i="8"/>
  <c r="I24" i="8"/>
  <c r="M24" i="8"/>
  <c r="Q24" i="8"/>
  <c r="Z24" i="8"/>
  <c r="E25" i="8"/>
  <c r="I25" i="8"/>
  <c r="M25" i="8"/>
  <c r="Q25" i="8"/>
  <c r="Z25" i="8"/>
  <c r="E26" i="8"/>
  <c r="I26" i="8"/>
  <c r="M26" i="8"/>
  <c r="Q26" i="8"/>
  <c r="Z26" i="8"/>
  <c r="E27" i="8"/>
  <c r="I27" i="8"/>
  <c r="M27" i="8"/>
  <c r="Q27" i="8"/>
  <c r="Z27" i="8"/>
  <c r="E28" i="8"/>
  <c r="I28" i="8"/>
  <c r="M28" i="8"/>
  <c r="Q28" i="8"/>
  <c r="Z28" i="8"/>
  <c r="E29" i="8"/>
  <c r="I29" i="8"/>
  <c r="M29" i="8"/>
  <c r="Q29" i="8"/>
  <c r="Z29" i="8"/>
  <c r="E30" i="8"/>
  <c r="I30" i="8"/>
  <c r="M30" i="8"/>
  <c r="Q30" i="8"/>
  <c r="Z30" i="8"/>
  <c r="E31" i="8"/>
  <c r="I31" i="8"/>
  <c r="M31" i="8"/>
  <c r="Q31" i="8"/>
  <c r="Z31" i="8"/>
  <c r="Q15" i="8"/>
  <c r="Z14" i="8"/>
  <c r="Q14" i="8"/>
  <c r="M14" i="8"/>
  <c r="I14" i="8"/>
  <c r="E14" i="8"/>
  <c r="Z13" i="8"/>
  <c r="Q13" i="8"/>
  <c r="M13" i="8"/>
  <c r="I13" i="8"/>
  <c r="E13" i="8"/>
  <c r="Z12" i="8"/>
  <c r="Q12" i="8"/>
  <c r="M12" i="8"/>
  <c r="I12" i="8"/>
  <c r="E12" i="8"/>
  <c r="Z11" i="8"/>
  <c r="Q11" i="8"/>
  <c r="M11" i="8"/>
  <c r="I11" i="8"/>
  <c r="E11" i="8"/>
  <c r="H28" i="16" l="1"/>
  <c r="V31" i="8"/>
  <c r="V30" i="8"/>
  <c r="V29" i="8"/>
  <c r="V28" i="8"/>
  <c r="V27" i="8"/>
  <c r="V26" i="8"/>
  <c r="V25" i="8"/>
  <c r="V24" i="8"/>
  <c r="V23" i="8"/>
  <c r="V22" i="8"/>
  <c r="V21" i="8"/>
  <c r="I15" i="8"/>
  <c r="E15" i="8"/>
  <c r="Z15" i="8"/>
  <c r="M15" i="8"/>
  <c r="V12" i="8"/>
  <c r="V11" i="8"/>
  <c r="V13" i="8"/>
  <c r="V14" i="8"/>
  <c r="G26" i="16"/>
  <c r="G29" i="16"/>
  <c r="H29" i="16" s="1"/>
  <c r="G30" i="16"/>
  <c r="H30" i="16" l="1"/>
  <c r="H31" i="16"/>
  <c r="G35" i="16"/>
  <c r="G32" i="16"/>
  <c r="H27" i="16"/>
  <c r="Z8" i="8" l="1"/>
  <c r="Q17" i="5"/>
  <c r="N17" i="5"/>
  <c r="K17" i="5"/>
  <c r="H17" i="5"/>
  <c r="E17" i="5"/>
  <c r="C3" i="5"/>
  <c r="E6" i="5" s="1"/>
  <c r="G6" i="5" s="1"/>
  <c r="J6" i="5" s="1"/>
  <c r="Z17" i="8" l="1"/>
  <c r="AA21" i="8"/>
  <c r="AA29" i="8"/>
  <c r="AA22" i="8"/>
  <c r="AA24" i="8"/>
  <c r="AA25" i="8"/>
  <c r="AA30" i="8"/>
  <c r="AA27" i="8"/>
  <c r="AA28" i="8"/>
  <c r="AA31" i="8"/>
  <c r="AA20" i="8"/>
  <c r="AA23" i="8"/>
  <c r="AA26" i="8"/>
  <c r="AA12" i="8"/>
  <c r="AA14" i="8"/>
  <c r="AA13" i="8"/>
  <c r="AA11" i="8"/>
  <c r="Q36" i="8" l="1"/>
  <c r="Q8" i="8"/>
  <c r="M36" i="8"/>
  <c r="M8" i="8"/>
  <c r="N49" i="5"/>
  <c r="N48" i="5"/>
  <c r="N45" i="5"/>
  <c r="N43" i="5"/>
  <c r="N40" i="5"/>
  <c r="N34" i="5"/>
  <c r="N33" i="5"/>
  <c r="N23" i="5"/>
  <c r="N22" i="5"/>
  <c r="N21" i="5"/>
  <c r="N18" i="5"/>
  <c r="N16" i="5"/>
  <c r="N10" i="5"/>
  <c r="N9" i="5"/>
  <c r="Q48" i="5"/>
  <c r="Q34" i="5"/>
  <c r="Q33" i="5"/>
  <c r="K34" i="5"/>
  <c r="K33" i="5"/>
  <c r="K36" i="5" s="1"/>
  <c r="K48" i="5"/>
  <c r="H34" i="5"/>
  <c r="H33" i="5"/>
  <c r="H36" i="5" s="1"/>
  <c r="H48" i="5"/>
  <c r="N12" i="5"/>
  <c r="K49" i="5"/>
  <c r="K45" i="5"/>
  <c r="K43" i="5"/>
  <c r="K40" i="5"/>
  <c r="K23" i="5"/>
  <c r="K22" i="5"/>
  <c r="K21" i="5"/>
  <c r="K18" i="5"/>
  <c r="K16" i="5"/>
  <c r="K10" i="5"/>
  <c r="K9" i="5"/>
  <c r="M6" i="5"/>
  <c r="D33" i="16" l="1"/>
  <c r="E33" i="16"/>
  <c r="C33" i="16"/>
  <c r="K24" i="5"/>
  <c r="K25" i="5" s="1"/>
  <c r="R28" i="8"/>
  <c r="R24" i="8"/>
  <c r="R20" i="8"/>
  <c r="R29" i="8"/>
  <c r="R25" i="8"/>
  <c r="R21" i="8"/>
  <c r="R30" i="8"/>
  <c r="R26" i="8"/>
  <c r="R22" i="8"/>
  <c r="R27" i="8"/>
  <c r="R23" i="8"/>
  <c r="R31" i="8"/>
  <c r="M17" i="8"/>
  <c r="N27" i="8"/>
  <c r="N28" i="8"/>
  <c r="N24" i="8"/>
  <c r="N20" i="8"/>
  <c r="N31" i="8"/>
  <c r="N29" i="8"/>
  <c r="N25" i="8"/>
  <c r="N21" i="8"/>
  <c r="N30" i="8"/>
  <c r="N26" i="8"/>
  <c r="N22" i="8"/>
  <c r="N23" i="8"/>
  <c r="R14" i="8"/>
  <c r="R11" i="8"/>
  <c r="R12" i="8"/>
  <c r="R13" i="8"/>
  <c r="N14" i="8"/>
  <c r="N12" i="8"/>
  <c r="N11" i="8"/>
  <c r="N13" i="8"/>
  <c r="N25" i="5"/>
  <c r="N11" i="5"/>
  <c r="N13" i="5" s="1"/>
  <c r="N8" i="8"/>
  <c r="R8" i="8"/>
  <c r="R36" i="8"/>
  <c r="N15" i="8"/>
  <c r="R15" i="8"/>
  <c r="N36" i="8"/>
  <c r="F33" i="16"/>
  <c r="N36" i="5"/>
  <c r="N46" i="5"/>
  <c r="N50" i="5" s="1"/>
  <c r="K46" i="5"/>
  <c r="K11" i="5"/>
  <c r="K13" i="5" s="1"/>
  <c r="H49" i="5"/>
  <c r="H45" i="5"/>
  <c r="H43" i="5"/>
  <c r="H40" i="5"/>
  <c r="H23" i="5"/>
  <c r="H22" i="5"/>
  <c r="H21" i="5"/>
  <c r="H18" i="5"/>
  <c r="H16" i="5"/>
  <c r="H10" i="5"/>
  <c r="H9" i="5"/>
  <c r="Q12" i="5"/>
  <c r="Q49" i="5"/>
  <c r="Q45" i="5"/>
  <c r="Q43" i="5"/>
  <c r="Q40" i="5"/>
  <c r="Q23" i="5"/>
  <c r="Q22" i="5"/>
  <c r="Q21" i="5"/>
  <c r="Q18" i="5"/>
  <c r="Q16" i="5"/>
  <c r="Q10" i="5"/>
  <c r="Q9" i="5"/>
  <c r="E49" i="5"/>
  <c r="E45" i="5"/>
  <c r="E43" i="5"/>
  <c r="E40" i="5"/>
  <c r="E22" i="5"/>
  <c r="E9" i="5"/>
  <c r="C1" i="8"/>
  <c r="E36" i="8"/>
  <c r="E8" i="8"/>
  <c r="Z36" i="8"/>
  <c r="I36" i="8"/>
  <c r="V15" i="8"/>
  <c r="I8" i="8"/>
  <c r="E46" i="5" l="1"/>
  <c r="H24" i="5"/>
  <c r="H25" i="5" s="1"/>
  <c r="K26" i="5"/>
  <c r="E17" i="8"/>
  <c r="F29" i="8"/>
  <c r="F25" i="8"/>
  <c r="F30" i="8"/>
  <c r="F26" i="8"/>
  <c r="F22" i="8"/>
  <c r="F27" i="8"/>
  <c r="F23" i="8"/>
  <c r="F20" i="8"/>
  <c r="F31" i="8"/>
  <c r="F28" i="8"/>
  <c r="F24" i="8"/>
  <c r="F21" i="8"/>
  <c r="I17" i="8"/>
  <c r="J29" i="8"/>
  <c r="J25" i="8"/>
  <c r="J21" i="8"/>
  <c r="J26" i="8"/>
  <c r="J27" i="8"/>
  <c r="J23" i="8"/>
  <c r="J31" i="8"/>
  <c r="J28" i="8"/>
  <c r="J24" i="8"/>
  <c r="J30" i="8"/>
  <c r="J22" i="8"/>
  <c r="J20" i="8"/>
  <c r="J12" i="8"/>
  <c r="J11" i="8"/>
  <c r="J13" i="8"/>
  <c r="J14" i="8"/>
  <c r="F14" i="8"/>
  <c r="F13" i="8"/>
  <c r="F11" i="8"/>
  <c r="F12" i="8"/>
  <c r="F36" i="8"/>
  <c r="J8" i="8"/>
  <c r="J15" i="8"/>
  <c r="J36" i="8"/>
  <c r="F8" i="8"/>
  <c r="V36" i="8"/>
  <c r="F15" i="8"/>
  <c r="V8" i="8"/>
  <c r="G33" i="16"/>
  <c r="Q32" i="8"/>
  <c r="R32" i="8" s="1"/>
  <c r="M32" i="8"/>
  <c r="N32" i="8" s="1"/>
  <c r="N52" i="5"/>
  <c r="K50" i="5"/>
  <c r="Q25" i="5"/>
  <c r="Q46" i="5"/>
  <c r="Q50" i="5" s="1"/>
  <c r="H46" i="5"/>
  <c r="Q36" i="5"/>
  <c r="H11" i="5"/>
  <c r="Q11" i="5"/>
  <c r="Q13" i="5" s="1"/>
  <c r="E32" i="8"/>
  <c r="F32" i="8" s="1"/>
  <c r="AA36" i="8"/>
  <c r="I32" i="8"/>
  <c r="J32" i="8" s="1"/>
  <c r="Z32" i="8"/>
  <c r="Z34" i="8" s="1"/>
  <c r="Z38" i="8" s="1"/>
  <c r="Z41" i="8" s="1"/>
  <c r="C3" i="8"/>
  <c r="E6" i="8" s="1"/>
  <c r="I6" i="8" s="1"/>
  <c r="M6" i="8" s="1"/>
  <c r="L44" i="5" l="1"/>
  <c r="L32" i="5"/>
  <c r="E34" i="8"/>
  <c r="E38" i="8" s="1"/>
  <c r="E41" i="8" s="1"/>
  <c r="I34" i="8"/>
  <c r="I38" i="8" s="1"/>
  <c r="I41" i="8" s="1"/>
  <c r="M34" i="8"/>
  <c r="M38" i="8" s="1"/>
  <c r="M41" i="8" s="1"/>
  <c r="W20" i="8"/>
  <c r="W27" i="8"/>
  <c r="W29" i="8"/>
  <c r="W30" i="8"/>
  <c r="W21" i="8"/>
  <c r="W24" i="8"/>
  <c r="W28" i="8"/>
  <c r="W31" i="8"/>
  <c r="W23" i="8"/>
  <c r="W25" i="8"/>
  <c r="W26" i="8"/>
  <c r="W22" i="8"/>
  <c r="W15" i="8"/>
  <c r="W13" i="8"/>
  <c r="W14" i="8"/>
  <c r="W12" i="8"/>
  <c r="W11" i="8"/>
  <c r="W36" i="8"/>
  <c r="W8" i="8"/>
  <c r="F17" i="8"/>
  <c r="V32" i="8"/>
  <c r="W32" i="8" s="1"/>
  <c r="N17" i="8"/>
  <c r="Q52" i="5"/>
  <c r="L17" i="5"/>
  <c r="K52" i="5"/>
  <c r="Q26" i="5"/>
  <c r="H50" i="5"/>
  <c r="H13" i="5"/>
  <c r="H26" i="5" s="1"/>
  <c r="R44" i="5" l="1"/>
  <c r="R32" i="5"/>
  <c r="I44" i="5"/>
  <c r="I32" i="5"/>
  <c r="R22" i="5"/>
  <c r="R17" i="5"/>
  <c r="L50" i="5"/>
  <c r="L9" i="5"/>
  <c r="F34" i="8"/>
  <c r="V17" i="8"/>
  <c r="W17" i="8" s="1"/>
  <c r="Q17" i="8"/>
  <c r="R17" i="8" s="1"/>
  <c r="L52" i="5"/>
  <c r="R23" i="5"/>
  <c r="N26" i="5"/>
  <c r="K54" i="5"/>
  <c r="L33" i="5"/>
  <c r="L45" i="5"/>
  <c r="L35" i="5"/>
  <c r="L26" i="5"/>
  <c r="L48" i="5"/>
  <c r="L40" i="5"/>
  <c r="L10" i="5"/>
  <c r="L36" i="5"/>
  <c r="L43" i="5"/>
  <c r="L12" i="5"/>
  <c r="L22" i="5"/>
  <c r="L18" i="5"/>
  <c r="L25" i="5"/>
  <c r="L34" i="5"/>
  <c r="L23" i="5"/>
  <c r="L16" i="5"/>
  <c r="L21" i="5"/>
  <c r="L49" i="5"/>
  <c r="L13" i="5"/>
  <c r="L11" i="5"/>
  <c r="L46" i="5"/>
  <c r="H52" i="5"/>
  <c r="AA34" i="8"/>
  <c r="O44" i="5" l="1"/>
  <c r="O32" i="5"/>
  <c r="F38" i="8"/>
  <c r="O9" i="5"/>
  <c r="O17" i="5"/>
  <c r="V34" i="8"/>
  <c r="W34" i="8" s="1"/>
  <c r="N34" i="8"/>
  <c r="Q34" i="8"/>
  <c r="R34" i="8" s="1"/>
  <c r="N54" i="5"/>
  <c r="O33" i="5"/>
  <c r="O26" i="5"/>
  <c r="O48" i="5"/>
  <c r="O45" i="5"/>
  <c r="O40" i="5"/>
  <c r="O35" i="5"/>
  <c r="O25" i="5"/>
  <c r="O22" i="5"/>
  <c r="O12" i="5"/>
  <c r="O43" i="5"/>
  <c r="O18" i="5"/>
  <c r="O34" i="5"/>
  <c r="O16" i="5"/>
  <c r="O23" i="5"/>
  <c r="O21" i="5"/>
  <c r="O10" i="5"/>
  <c r="O36" i="5"/>
  <c r="O49" i="5"/>
  <c r="O11" i="5"/>
  <c r="O46" i="5"/>
  <c r="O13" i="5"/>
  <c r="O50" i="5"/>
  <c r="O52" i="5"/>
  <c r="I17" i="5"/>
  <c r="I52" i="5" l="1"/>
  <c r="I9" i="5"/>
  <c r="V38" i="8"/>
  <c r="W38" i="8" s="1"/>
  <c r="N38" i="8"/>
  <c r="Q38" i="8"/>
  <c r="H54" i="5"/>
  <c r="I33" i="5"/>
  <c r="I48" i="5"/>
  <c r="I40" i="5"/>
  <c r="I26" i="5"/>
  <c r="I45" i="5"/>
  <c r="I35" i="5"/>
  <c r="I10" i="5"/>
  <c r="I36" i="5"/>
  <c r="I16" i="5"/>
  <c r="I34" i="5"/>
  <c r="I43" i="5"/>
  <c r="I25" i="5"/>
  <c r="I49" i="5"/>
  <c r="I21" i="5"/>
  <c r="I18" i="5"/>
  <c r="I22" i="5"/>
  <c r="I23" i="5"/>
  <c r="I12" i="5"/>
  <c r="I11" i="5"/>
  <c r="I46" i="5"/>
  <c r="I50" i="5"/>
  <c r="I13" i="5"/>
  <c r="Q41" i="8" l="1"/>
  <c r="R38" i="8"/>
  <c r="E23" i="5"/>
  <c r="E21" i="5"/>
  <c r="E18" i="5"/>
  <c r="E16" i="5"/>
  <c r="E10" i="5"/>
  <c r="E24" i="5" l="1"/>
  <c r="E25" i="5" s="1"/>
  <c r="E11" i="5"/>
  <c r="E13" i="5" s="1"/>
  <c r="E26" i="5" l="1"/>
  <c r="AA15" i="8"/>
  <c r="F44" i="5" l="1"/>
  <c r="F32" i="5"/>
  <c r="AA8" i="8"/>
  <c r="AA32" i="8"/>
  <c r="AA17" i="8" l="1"/>
  <c r="J17" i="8" l="1"/>
  <c r="J34" i="8" l="1"/>
  <c r="AA38" i="8"/>
  <c r="J38" i="8" l="1"/>
  <c r="R9" i="5"/>
  <c r="R10" i="5"/>
  <c r="R45" i="5"/>
  <c r="R18" i="5"/>
  <c r="R43" i="5"/>
  <c r="R34" i="5"/>
  <c r="R48" i="5"/>
  <c r="R40" i="5"/>
  <c r="R33" i="5"/>
  <c r="R21" i="5"/>
  <c r="R46" i="5"/>
  <c r="R35" i="5"/>
  <c r="R26" i="5"/>
  <c r="R16" i="5"/>
  <c r="R36" i="5"/>
  <c r="R25" i="5"/>
  <c r="R11" i="5"/>
  <c r="R12" i="5"/>
  <c r="R13" i="5"/>
  <c r="R49" i="5"/>
  <c r="Q54" i="5" l="1"/>
  <c r="R50" i="5"/>
  <c r="E50" i="5"/>
  <c r="F10" i="5" l="1"/>
  <c r="F17" i="5"/>
  <c r="F22" i="5"/>
  <c r="F9" i="5"/>
  <c r="F23" i="5"/>
  <c r="F48" i="5"/>
  <c r="R52" i="5"/>
  <c r="E52" i="5"/>
  <c r="F50" i="5"/>
  <c r="F43" i="5"/>
  <c r="F34" i="5"/>
  <c r="F40" i="5"/>
  <c r="F33" i="5"/>
  <c r="F21" i="5"/>
  <c r="F46" i="5"/>
  <c r="F35" i="5"/>
  <c r="F26" i="5"/>
  <c r="F45" i="5"/>
  <c r="F18" i="5"/>
  <c r="F36" i="5"/>
  <c r="F16" i="5"/>
  <c r="F25" i="5"/>
  <c r="F11" i="5"/>
  <c r="F12" i="5"/>
  <c r="F49" i="5"/>
  <c r="F13" i="5"/>
  <c r="E54" i="5" l="1"/>
  <c r="F52" i="5"/>
</calcChain>
</file>

<file path=xl/sharedStrings.xml><?xml version="1.0" encoding="utf-8"?>
<sst xmlns="http://schemas.openxmlformats.org/spreadsheetml/2006/main" count="236" uniqueCount="159">
  <si>
    <t>Assets</t>
  </si>
  <si>
    <t>Liabilities</t>
  </si>
  <si>
    <t>Equity</t>
  </si>
  <si>
    <t>Capital</t>
  </si>
  <si>
    <t>Other expenses</t>
  </si>
  <si>
    <t>Amount</t>
  </si>
  <si>
    <t>BALANCE SHEET</t>
  </si>
  <si>
    <t>Fixed Asset</t>
  </si>
  <si>
    <t>Total Assets</t>
  </si>
  <si>
    <t>Net Fixed Assets</t>
  </si>
  <si>
    <t>Total Current Assets</t>
  </si>
  <si>
    <t>Accrued Liabilities</t>
  </si>
  <si>
    <t>ASSETS</t>
  </si>
  <si>
    <t>LIABILITIES &amp; EQUITY</t>
  </si>
  <si>
    <t>Total Liabilities</t>
  </si>
  <si>
    <t>Partner's Current Accounts</t>
  </si>
  <si>
    <t>Total Partner's Current Accounts</t>
  </si>
  <si>
    <t>Retined Earnings</t>
  </si>
  <si>
    <t>Current Earnings</t>
  </si>
  <si>
    <t>in KWD</t>
  </si>
  <si>
    <t>INCOME STATEMENT</t>
  </si>
  <si>
    <t>Sales</t>
  </si>
  <si>
    <t>Cost of Sales</t>
  </si>
  <si>
    <t>Gross Profit</t>
  </si>
  <si>
    <t>Operating Expenses</t>
  </si>
  <si>
    <t>Marketing Expenses</t>
  </si>
  <si>
    <t>Total Partner's Equity</t>
  </si>
  <si>
    <t>Partner's Equity</t>
  </si>
  <si>
    <t>TOTAL ASSETS</t>
  </si>
  <si>
    <t>TOTAL LIABILITIES &amp; EQUITY</t>
  </si>
  <si>
    <t>Checking:</t>
  </si>
  <si>
    <t>Total Operating Expenses</t>
  </si>
  <si>
    <t>Net Profit</t>
  </si>
  <si>
    <t>%</t>
  </si>
  <si>
    <t>FINANCIAL STATEMENTS</t>
  </si>
  <si>
    <t>Balance Sheet</t>
  </si>
  <si>
    <t xml:space="preserve">   Bank</t>
  </si>
  <si>
    <t xml:space="preserve">   Cash on hand</t>
  </si>
  <si>
    <t xml:space="preserve">   Total Bank</t>
  </si>
  <si>
    <t xml:space="preserve">   Current Assets</t>
  </si>
  <si>
    <t xml:space="preserve">   Total Current Assets</t>
  </si>
  <si>
    <t xml:space="preserve">   Fixed Assets</t>
  </si>
  <si>
    <t xml:space="preserve">   Total Fixed Assets</t>
  </si>
  <si>
    <t xml:space="preserve">   Current Liabilities</t>
  </si>
  <si>
    <t xml:space="preserve">   Total Current Liabilities</t>
  </si>
  <si>
    <t>Net Assets</t>
  </si>
  <si>
    <t>Current Year Earnings</t>
  </si>
  <si>
    <t>Total Equity</t>
  </si>
  <si>
    <t>Profit &amp; Loss</t>
  </si>
  <si>
    <t>Income</t>
  </si>
  <si>
    <t>Total Income</t>
  </si>
  <si>
    <t>Less Cost of Sales</t>
  </si>
  <si>
    <t>Cost of good sold</t>
  </si>
  <si>
    <t>Total Cost of Sales</t>
  </si>
  <si>
    <t>Less Operating Expenses</t>
  </si>
  <si>
    <t>Communication expenses</t>
  </si>
  <si>
    <t>Government expenses</t>
  </si>
  <si>
    <t>Transport expenses</t>
  </si>
  <si>
    <t>Uniform expense</t>
  </si>
  <si>
    <t>Acc.</t>
  </si>
  <si>
    <t>Prepared by:</t>
  </si>
  <si>
    <t>Financial Highlights</t>
  </si>
  <si>
    <t>I. SALES</t>
  </si>
  <si>
    <t>YTD March 2017</t>
  </si>
  <si>
    <t>Apr-17</t>
  </si>
  <si>
    <t>Mar-17</t>
  </si>
  <si>
    <t>YTD</t>
  </si>
  <si>
    <t>Other Revenues</t>
  </si>
  <si>
    <t>Accounting and auditing expenses</t>
  </si>
  <si>
    <t>Grocery</t>
  </si>
  <si>
    <t>Maintenance expenses</t>
  </si>
  <si>
    <t>Operating Profit(Loss)</t>
  </si>
  <si>
    <t>Other Income(Expenses)</t>
  </si>
  <si>
    <t>Net Profit(Loss)</t>
  </si>
  <si>
    <t>30 Apr 2017</t>
  </si>
  <si>
    <t>31 Mar 2017</t>
  </si>
  <si>
    <t>28 Feb 2017</t>
  </si>
  <si>
    <t xml:space="preserve">   Accounts Receivable</t>
  </si>
  <si>
    <t xml:space="preserve">   Acc. Dep. Cars</t>
  </si>
  <si>
    <t xml:space="preserve">   Cars</t>
  </si>
  <si>
    <t xml:space="preserve">   Accrued Expenses</t>
  </si>
  <si>
    <t>Cars</t>
  </si>
  <si>
    <t>Accounts Receivable</t>
  </si>
  <si>
    <t>Accrued Expenses</t>
  </si>
  <si>
    <t>Accum. Depreciation &amp; Amortization</t>
  </si>
  <si>
    <t>Month</t>
  </si>
  <si>
    <t>Total</t>
  </si>
  <si>
    <t>Share %</t>
  </si>
  <si>
    <r>
      <t xml:space="preserve">SALES </t>
    </r>
    <r>
      <rPr>
        <b/>
        <i/>
        <sz val="10"/>
        <color theme="1"/>
        <rFont val="Arial"/>
        <family val="2"/>
      </rPr>
      <t>in KWD</t>
    </r>
  </si>
  <si>
    <t>Inc(Dec) %</t>
  </si>
  <si>
    <t>31 May 2017</t>
  </si>
  <si>
    <t>May-17</t>
  </si>
  <si>
    <t>Sparkle Wash</t>
  </si>
  <si>
    <t xml:space="preserve">Sales of services </t>
  </si>
  <si>
    <t xml:space="preserve">Cost of service </t>
  </si>
  <si>
    <t>Labor salaries</t>
  </si>
  <si>
    <t>Bank charges</t>
  </si>
  <si>
    <t>Dep. Cars</t>
  </si>
  <si>
    <t>Dep. Machine</t>
  </si>
  <si>
    <t>Fines and penalties</t>
  </si>
  <si>
    <t xml:space="preserve">Tools expenses </t>
  </si>
  <si>
    <t xml:space="preserve">   Gulf Bank 2</t>
  </si>
  <si>
    <t xml:space="preserve">   K-net</t>
  </si>
  <si>
    <t xml:space="preserve">   Inventory </t>
  </si>
  <si>
    <t xml:space="preserve">   Staff loan </t>
  </si>
  <si>
    <t xml:space="preserve">   Acc. Dep. Machine</t>
  </si>
  <si>
    <t xml:space="preserve">   Machine</t>
  </si>
  <si>
    <t xml:space="preserve">   Loan</t>
  </si>
  <si>
    <t>C/A Faisel Al-Brehe</t>
  </si>
  <si>
    <t>C/A Yousef Al-Shatti</t>
  </si>
  <si>
    <t xml:space="preserve">C/A Yousef Bonashi </t>
  </si>
  <si>
    <t xml:space="preserve">Capital </t>
  </si>
  <si>
    <t>Retained Earnings</t>
  </si>
  <si>
    <t>Machine</t>
  </si>
  <si>
    <t>Current Assets</t>
  </si>
  <si>
    <t>Bank</t>
  </si>
  <si>
    <t>Total Bank</t>
  </si>
  <si>
    <t>Cash on hand</t>
  </si>
  <si>
    <t>Gulf Bank 2</t>
  </si>
  <si>
    <t>K-net</t>
  </si>
  <si>
    <t xml:space="preserve">Inventory </t>
  </si>
  <si>
    <t xml:space="preserve">Staff loan </t>
  </si>
  <si>
    <t>Loan</t>
  </si>
  <si>
    <t>Bus#1</t>
  </si>
  <si>
    <t>Bus#2</t>
  </si>
  <si>
    <t>Bus#3</t>
  </si>
  <si>
    <t>Bus#4</t>
  </si>
  <si>
    <t>Average Sales per Month</t>
  </si>
  <si>
    <t>Monthly Average Sales per Bus</t>
  </si>
  <si>
    <t>II. EXPENSES</t>
  </si>
  <si>
    <t>A)  Cost of Service</t>
  </si>
  <si>
    <t>C) Marketing</t>
  </si>
  <si>
    <t>B) Government Expenses &amp; Fines &amp; penalties</t>
  </si>
  <si>
    <t>D) Uniform Expenses</t>
  </si>
  <si>
    <t>The company spent KD 322 for the staff uniforms</t>
  </si>
  <si>
    <t>E) Other Expenses</t>
  </si>
  <si>
    <t>The total of KWD 308 was charged to other expenses as the nature of payment was not able to provide clarifications.</t>
  </si>
  <si>
    <t>YTD June 2017</t>
  </si>
  <si>
    <t>For the month ended 30 June 2017</t>
  </si>
  <si>
    <t>Jun-17</t>
  </si>
  <si>
    <t>As at 30 June 2017</t>
  </si>
  <si>
    <t>30 Jun 2017</t>
  </si>
  <si>
    <t xml:space="preserve">   Accounts Payable</t>
  </si>
  <si>
    <t>Accounts Payable</t>
  </si>
  <si>
    <t>Normal</t>
  </si>
  <si>
    <t>Special</t>
  </si>
  <si>
    <t>VIP</t>
  </si>
  <si>
    <t>The combined sales performances of the busses had increased by 1.8%. Bus #2 contributes the highest percentage at 28% of the total sales for the year-to-date June 2017. Based on the below tabulation, a bus has an average sales of KWD 718 per month of which Bus #3 and #4 failed to perform well during the period.</t>
  </si>
  <si>
    <t>Sales by Wash Type</t>
  </si>
  <si>
    <t>for the fines and penalties in the month of May 2017</t>
  </si>
  <si>
    <t>The company had started engaging to its marketing activities, paying KWD 161/-- in May 2017</t>
  </si>
  <si>
    <t>During May, maintenance has been applied on Busses amounting to KD 1,027.</t>
  </si>
  <si>
    <t>F) Tools expenses</t>
  </si>
  <si>
    <t>The company spent KWD 328 for the tools in June 2017.</t>
  </si>
  <si>
    <t>ABC COMPANY</t>
  </si>
  <si>
    <t>C/A Partner 1</t>
  </si>
  <si>
    <t>C/A Partner 2</t>
  </si>
  <si>
    <t>C/A Partner 3</t>
  </si>
  <si>
    <t>The company had paid KD 155 for the Government Expenses and KD 240 to Ministry of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</si>
</sst>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(* #,##0.00_);_(* \(#,##0.00\);_(* &quot;-&quot;??_);_(@_)"/>
    <numFmt numFmtId="164" formatCode="_-* #,##0.00_-;\-* #,##0.00_-;_-* &quot;-&quot;??_-;_-@_-"/>
    <numFmt numFmtId="165" formatCode="#,##0.000_);[Red]\(#,##0.000\)"/>
    <numFmt numFmtId="166" formatCode="&quot;as&quot;\ \o\f\ mmmm\ d\,\ yyyy"/>
    <numFmt numFmtId="167" formatCode="&quot;for the month-ended&quot;\ mmmm\ d\,\ yyyy"/>
    <numFmt numFmtId="168" formatCode="[$-409]d\-mmm\-yyyy;@"/>
    <numFmt numFmtId="169" formatCode="_-* #,##0.0000000_-;\-* #,##0.0000000_-;_-* &quot;-&quot;??_-;_-@_-"/>
    <numFmt numFmtId="170" formatCode="0%;[Red]\(0%\)"/>
    <numFmt numFmtId="171" formatCode="[$د.ك-809]#,##0.00;\-[$د.ك-809]#,##0.00"/>
    <numFmt numFmtId="172" formatCode="0%;[Red]\-0%"/>
    <numFmt numFmtId="173" formatCode="mmm\-yyyy"/>
    <numFmt numFmtId="174" formatCode="_(* #,##0_);_(* \(#,##0\);_(* &quot;-&quot;??_);_(@_)"/>
    <numFmt numFmtId="175" formatCode="0.0%"/>
    <numFmt numFmtId="176" formatCode="mmmm\ dd\,\ yyyy"/>
    <numFmt numFmtId="177" formatCode="mmm"/>
    <numFmt numFmtId="178" formatCode="_-* #,##0_-;\-* #,##0_-;_-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i/>
      <sz val="10"/>
      <color theme="1"/>
      <name val="Arial"/>
      <family val="2"/>
    </font>
    <font>
      <sz val="11"/>
      <color rgb="FF000099"/>
      <name val="Arial"/>
      <family val="2"/>
    </font>
    <font>
      <b/>
      <sz val="13"/>
      <color theme="0"/>
      <name val="Arial"/>
      <family val="2"/>
    </font>
    <font>
      <b/>
      <sz val="11"/>
      <color rgb="FF000099"/>
      <name val="Arial"/>
      <family val="2"/>
    </font>
    <font>
      <sz val="14"/>
      <color theme="0"/>
      <name val="Arial"/>
      <family val="2"/>
    </font>
    <font>
      <b/>
      <sz val="14"/>
      <color theme="0"/>
      <name val="Arial"/>
      <family val="2"/>
    </font>
    <font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8"/>
      <color theme="0"/>
      <name val="Calibri Light"/>
      <family val="2"/>
      <scheme val="major"/>
    </font>
    <font>
      <b/>
      <sz val="11"/>
      <name val="Arial"/>
      <family val="2"/>
    </font>
    <font>
      <b/>
      <u val="double"/>
      <sz val="11"/>
      <color theme="1"/>
      <name val="Arial"/>
      <family val="2"/>
    </font>
    <font>
      <b/>
      <sz val="16"/>
      <color theme="1"/>
      <name val="Arial"/>
      <family val="2"/>
    </font>
    <font>
      <b/>
      <sz val="18"/>
      <color rgb="FF000099"/>
      <name val="Arial"/>
      <family val="2"/>
    </font>
    <font>
      <b/>
      <sz val="14"/>
      <color rgb="FF00009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double">
        <color theme="4" tint="0.39994506668294322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171" fontId="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top" wrapText="1"/>
    </xf>
    <xf numFmtId="171" fontId="5" fillId="0" borderId="0" xfId="0" applyNumberFormat="1" applyFont="1" applyFill="1" applyBorder="1" applyAlignment="1" applyProtection="1">
      <alignment vertical="center"/>
    </xf>
    <xf numFmtId="171" fontId="6" fillId="0" borderId="0" xfId="0" applyNumberFormat="1" applyFont="1" applyFill="1" applyBorder="1" applyAlignment="1" applyProtection="1">
      <alignment vertical="center"/>
    </xf>
    <xf numFmtId="0" fontId="5" fillId="0" borderId="3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vertical="center"/>
    </xf>
    <xf numFmtId="0" fontId="7" fillId="0" borderId="7" xfId="0" applyFont="1" applyBorder="1" applyAlignment="1">
      <alignment horizontal="left" indent="1"/>
    </xf>
    <xf numFmtId="0" fontId="8" fillId="0" borderId="7" xfId="0" applyFont="1" applyBorder="1"/>
    <xf numFmtId="40" fontId="8" fillId="0" borderId="0" xfId="0" applyNumberFormat="1" applyFont="1" applyBorder="1"/>
    <xf numFmtId="0" fontId="8" fillId="0" borderId="7" xfId="0" applyFont="1" applyBorder="1" applyAlignment="1">
      <alignment horizontal="left" indent="2"/>
    </xf>
    <xf numFmtId="165" fontId="8" fillId="0" borderId="7" xfId="1" applyNumberFormat="1" applyFont="1" applyBorder="1"/>
    <xf numFmtId="38" fontId="8" fillId="0" borderId="0" xfId="1" applyNumberFormat="1" applyFont="1" applyBorder="1"/>
    <xf numFmtId="38" fontId="8" fillId="0" borderId="3" xfId="1" applyNumberFormat="1" applyFont="1" applyBorder="1"/>
    <xf numFmtId="0" fontId="8" fillId="0" borderId="7" xfId="0" applyFont="1" applyBorder="1" applyAlignment="1">
      <alignment horizontal="left" indent="1"/>
    </xf>
    <xf numFmtId="38" fontId="8" fillId="0" borderId="2" xfId="1" applyNumberFormat="1" applyFont="1" applyBorder="1"/>
    <xf numFmtId="0" fontId="9" fillId="0" borderId="0" xfId="0" applyFont="1"/>
    <xf numFmtId="0" fontId="9" fillId="0" borderId="15" xfId="0" applyFont="1" applyBorder="1"/>
    <xf numFmtId="0" fontId="9" fillId="0" borderId="16" xfId="0" applyFont="1" applyBorder="1"/>
    <xf numFmtId="0" fontId="9" fillId="0" borderId="17" xfId="0" applyFont="1" applyBorder="1"/>
    <xf numFmtId="0" fontId="9" fillId="0" borderId="7" xfId="0" applyFont="1" applyBorder="1"/>
    <xf numFmtId="0" fontId="9" fillId="0" borderId="0" xfId="0" applyFont="1" applyBorder="1"/>
    <xf numFmtId="0" fontId="9" fillId="0" borderId="6" xfId="0" applyFont="1" applyBorder="1"/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0" borderId="8" xfId="0" applyFont="1" applyBorder="1"/>
    <xf numFmtId="0" fontId="9" fillId="0" borderId="4" xfId="0" applyFont="1" applyBorder="1"/>
    <xf numFmtId="0" fontId="9" fillId="0" borderId="9" xfId="0" applyFont="1" applyBorder="1"/>
    <xf numFmtId="40" fontId="9" fillId="0" borderId="0" xfId="0" applyNumberFormat="1" applyFont="1"/>
    <xf numFmtId="0" fontId="15" fillId="0" borderId="0" xfId="0" applyFont="1"/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2" borderId="18" xfId="0" applyFont="1" applyFill="1" applyBorder="1" applyAlignment="1">
      <alignment horizontal="center" vertical="center"/>
    </xf>
    <xf numFmtId="168" fontId="16" fillId="2" borderId="19" xfId="0" applyNumberFormat="1" applyFont="1" applyFill="1" applyBorder="1" applyAlignment="1">
      <alignment horizontal="center" vertical="center"/>
    </xf>
    <xf numFmtId="168" fontId="13" fillId="2" borderId="20" xfId="0" applyNumberFormat="1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12" fillId="0" borderId="0" xfId="0" applyFont="1"/>
    <xf numFmtId="0" fontId="7" fillId="0" borderId="15" xfId="0" applyFont="1" applyBorder="1"/>
    <xf numFmtId="40" fontId="7" fillId="0" borderId="16" xfId="0" applyNumberFormat="1" applyFont="1" applyBorder="1"/>
    <xf numFmtId="0" fontId="17" fillId="0" borderId="17" xfId="0" applyFont="1" applyBorder="1"/>
    <xf numFmtId="0" fontId="7" fillId="0" borderId="16" xfId="0" applyFont="1" applyBorder="1"/>
    <xf numFmtId="0" fontId="17" fillId="0" borderId="16" xfId="0" applyFont="1" applyBorder="1"/>
    <xf numFmtId="0" fontId="12" fillId="0" borderId="17" xfId="0" applyFont="1" applyBorder="1"/>
    <xf numFmtId="0" fontId="15" fillId="0" borderId="6" xfId="0" applyFont="1" applyBorder="1"/>
    <xf numFmtId="0" fontId="8" fillId="0" borderId="0" xfId="0" applyFont="1" applyBorder="1"/>
    <xf numFmtId="0" fontId="15" fillId="0" borderId="0" xfId="0" applyFont="1" applyBorder="1"/>
    <xf numFmtId="9" fontId="15" fillId="0" borderId="6" xfId="2" applyFont="1" applyBorder="1"/>
    <xf numFmtId="165" fontId="8" fillId="0" borderId="0" xfId="1" applyNumberFormat="1" applyFont="1" applyBorder="1"/>
    <xf numFmtId="9" fontId="15" fillId="0" borderId="0" xfId="2" applyFont="1" applyBorder="1"/>
    <xf numFmtId="165" fontId="9" fillId="0" borderId="6" xfId="1" applyNumberFormat="1" applyFont="1" applyBorder="1"/>
    <xf numFmtId="165" fontId="15" fillId="0" borderId="6" xfId="1" applyNumberFormat="1" applyFont="1" applyBorder="1"/>
    <xf numFmtId="165" fontId="15" fillId="0" borderId="0" xfId="1" applyNumberFormat="1" applyFont="1" applyBorder="1"/>
    <xf numFmtId="165" fontId="7" fillId="0" borderId="7" xfId="1" applyNumberFormat="1" applyFont="1" applyBorder="1"/>
    <xf numFmtId="38" fontId="7" fillId="0" borderId="2" xfId="1" applyNumberFormat="1" applyFont="1" applyBorder="1"/>
    <xf numFmtId="165" fontId="7" fillId="0" borderId="0" xfId="1" applyNumberFormat="1" applyFont="1" applyBorder="1"/>
    <xf numFmtId="165" fontId="12" fillId="0" borderId="6" xfId="1" applyNumberFormat="1" applyFont="1" applyBorder="1"/>
    <xf numFmtId="16" fontId="9" fillId="0" borderId="0" xfId="0" applyNumberFormat="1" applyFont="1"/>
    <xf numFmtId="38" fontId="8" fillId="0" borderId="0" xfId="1" applyNumberFormat="1" applyFont="1" applyFill="1" applyBorder="1"/>
    <xf numFmtId="0" fontId="7" fillId="0" borderId="8" xfId="0" applyFont="1" applyBorder="1"/>
    <xf numFmtId="165" fontId="7" fillId="0" borderId="8" xfId="1" applyNumberFormat="1" applyFont="1" applyBorder="1"/>
    <xf numFmtId="38" fontId="7" fillId="0" borderId="1" xfId="1" applyNumberFormat="1" applyFont="1" applyBorder="1"/>
    <xf numFmtId="9" fontId="15" fillId="0" borderId="9" xfId="2" applyFont="1" applyBorder="1"/>
    <xf numFmtId="165" fontId="7" fillId="0" borderId="4" xfId="1" applyNumberFormat="1" applyFont="1" applyBorder="1"/>
    <xf numFmtId="9" fontId="15" fillId="0" borderId="4" xfId="2" applyFont="1" applyBorder="1"/>
    <xf numFmtId="165" fontId="12" fillId="0" borderId="9" xfId="1" applyNumberFormat="1" applyFont="1" applyBorder="1"/>
    <xf numFmtId="0" fontId="8" fillId="0" borderId="0" xfId="0" applyFont="1"/>
    <xf numFmtId="165" fontId="8" fillId="0" borderId="0" xfId="1" applyNumberFormat="1" applyFont="1"/>
    <xf numFmtId="38" fontId="8" fillId="0" borderId="0" xfId="1" applyNumberFormat="1" applyFont="1"/>
    <xf numFmtId="165" fontId="15" fillId="0" borderId="0" xfId="1" applyNumberFormat="1" applyFont="1"/>
    <xf numFmtId="165" fontId="9" fillId="0" borderId="0" xfId="1" applyNumberFormat="1" applyFont="1"/>
    <xf numFmtId="165" fontId="7" fillId="0" borderId="15" xfId="1" applyNumberFormat="1" applyFont="1" applyBorder="1"/>
    <xf numFmtId="38" fontId="7" fillId="0" borderId="16" xfId="1" applyNumberFormat="1" applyFont="1" applyBorder="1"/>
    <xf numFmtId="165" fontId="17" fillId="0" borderId="17" xfId="1" applyNumberFormat="1" applyFont="1" applyBorder="1"/>
    <xf numFmtId="165" fontId="7" fillId="0" borderId="16" xfId="1" applyNumberFormat="1" applyFont="1" applyBorder="1"/>
    <xf numFmtId="165" fontId="17" fillId="0" borderId="16" xfId="1" applyNumberFormat="1" applyFont="1" applyBorder="1"/>
    <xf numFmtId="165" fontId="12" fillId="0" borderId="17" xfId="1" applyNumberFormat="1" applyFont="1" applyBorder="1"/>
    <xf numFmtId="0" fontId="7" fillId="0" borderId="7" xfId="0" applyFont="1" applyBorder="1"/>
    <xf numFmtId="9" fontId="15" fillId="0" borderId="6" xfId="2" applyFont="1" applyFill="1" applyBorder="1"/>
    <xf numFmtId="165" fontId="8" fillId="0" borderId="0" xfId="1" applyNumberFormat="1" applyFont="1" applyFill="1" applyBorder="1"/>
    <xf numFmtId="0" fontId="8" fillId="0" borderId="8" xfId="0" applyFont="1" applyBorder="1"/>
    <xf numFmtId="165" fontId="8" fillId="0" borderId="8" xfId="1" applyNumberFormat="1" applyFont="1" applyBorder="1"/>
    <xf numFmtId="40" fontId="8" fillId="0" borderId="4" xfId="1" applyNumberFormat="1" applyFont="1" applyBorder="1"/>
    <xf numFmtId="165" fontId="15" fillId="0" borderId="9" xfId="1" applyNumberFormat="1" applyFont="1" applyBorder="1"/>
    <xf numFmtId="165" fontId="8" fillId="0" borderId="4" xfId="1" applyNumberFormat="1" applyFont="1" applyBorder="1"/>
    <xf numFmtId="165" fontId="15" fillId="0" borderId="4" xfId="1" applyNumberFormat="1" applyFont="1" applyBorder="1"/>
    <xf numFmtId="165" fontId="9" fillId="0" borderId="9" xfId="1" applyNumberFormat="1" applyFont="1" applyBorder="1"/>
    <xf numFmtId="0" fontId="12" fillId="0" borderId="0" xfId="0" applyFont="1" applyAlignment="1">
      <alignment horizontal="right"/>
    </xf>
    <xf numFmtId="0" fontId="12" fillId="4" borderId="21" xfId="0" applyFont="1" applyFill="1" applyBorder="1"/>
    <xf numFmtId="174" fontId="9" fillId="0" borderId="0" xfId="3" applyNumberFormat="1" applyFont="1"/>
    <xf numFmtId="43" fontId="9" fillId="0" borderId="0" xfId="0" applyNumberFormat="1" applyFont="1"/>
    <xf numFmtId="0" fontId="12" fillId="4" borderId="22" xfId="0" applyFont="1" applyFill="1" applyBorder="1" applyAlignment="1">
      <alignment horizontal="left"/>
    </xf>
    <xf numFmtId="174" fontId="12" fillId="4" borderId="22" xfId="3" applyNumberFormat="1" applyFont="1" applyFill="1" applyBorder="1"/>
    <xf numFmtId="9" fontId="9" fillId="0" borderId="0" xfId="2" applyFont="1"/>
    <xf numFmtId="0" fontId="12" fillId="4" borderId="0" xfId="0" applyFont="1" applyFill="1"/>
    <xf numFmtId="0" fontId="12" fillId="0" borderId="0" xfId="0" applyFont="1" applyAlignment="1">
      <alignment horizontal="left"/>
    </xf>
    <xf numFmtId="166" fontId="14" fillId="0" borderId="0" xfId="0" applyNumberFormat="1" applyFont="1" applyAlignment="1">
      <alignment horizontal="left"/>
    </xf>
    <xf numFmtId="169" fontId="9" fillId="0" borderId="0" xfId="1" applyNumberFormat="1" applyFont="1"/>
    <xf numFmtId="0" fontId="8" fillId="0" borderId="0" xfId="0" applyFont="1" applyAlignment="1">
      <alignment vertical="center"/>
    </xf>
    <xf numFmtId="0" fontId="18" fillId="2" borderId="18" xfId="0" applyFont="1" applyFill="1" applyBorder="1" applyAlignment="1">
      <alignment vertical="center"/>
    </xf>
    <xf numFmtId="0" fontId="18" fillId="2" borderId="20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166" fontId="21" fillId="0" borderId="10" xfId="0" applyNumberFormat="1" applyFont="1" applyBorder="1" applyAlignment="1">
      <alignment horizontal="left"/>
    </xf>
    <xf numFmtId="0" fontId="22" fillId="0" borderId="12" xfId="0" applyFont="1" applyBorder="1" applyAlignment="1">
      <alignment vertical="center"/>
    </xf>
    <xf numFmtId="168" fontId="22" fillId="0" borderId="13" xfId="0" applyNumberFormat="1" applyFont="1" applyBorder="1" applyAlignment="1">
      <alignment horizontal="center" vertical="center"/>
    </xf>
    <xf numFmtId="9" fontId="22" fillId="0" borderId="13" xfId="2" applyFont="1" applyBorder="1" applyAlignment="1">
      <alignment horizontal="center" vertical="center"/>
    </xf>
    <xf numFmtId="0" fontId="22" fillId="0" borderId="14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7" fillId="3" borderId="7" xfId="0" applyFont="1" applyFill="1" applyBorder="1"/>
    <xf numFmtId="38" fontId="7" fillId="3" borderId="0" xfId="1" applyNumberFormat="1" applyFont="1" applyFill="1" applyBorder="1"/>
    <xf numFmtId="172" fontId="8" fillId="3" borderId="0" xfId="2" applyNumberFormat="1" applyFont="1" applyFill="1" applyBorder="1"/>
    <xf numFmtId="0" fontId="7" fillId="3" borderId="6" xfId="0" applyFont="1" applyFill="1" applyBorder="1"/>
    <xf numFmtId="0" fontId="12" fillId="3" borderId="6" xfId="0" applyFont="1" applyFill="1" applyBorder="1"/>
    <xf numFmtId="0" fontId="8" fillId="0" borderId="5" xfId="0" applyFont="1" applyBorder="1"/>
    <xf numFmtId="172" fontId="8" fillId="0" borderId="0" xfId="2" applyNumberFormat="1" applyFont="1" applyBorder="1"/>
    <xf numFmtId="0" fontId="8" fillId="0" borderId="6" xfId="0" applyFont="1" applyBorder="1"/>
    <xf numFmtId="0" fontId="7" fillId="0" borderId="6" xfId="0" applyFont="1" applyBorder="1"/>
    <xf numFmtId="0" fontId="12" fillId="0" borderId="6" xfId="0" applyFont="1" applyBorder="1"/>
    <xf numFmtId="38" fontId="7" fillId="3" borderId="2" xfId="1" applyNumberFormat="1" applyFont="1" applyFill="1" applyBorder="1"/>
    <xf numFmtId="170" fontId="8" fillId="0" borderId="0" xfId="2" applyNumberFormat="1" applyFont="1" applyBorder="1"/>
    <xf numFmtId="0" fontId="8" fillId="0" borderId="5" xfId="0" applyFont="1" applyBorder="1" applyAlignment="1">
      <alignment horizontal="left" indent="1"/>
    </xf>
    <xf numFmtId="165" fontId="8" fillId="0" borderId="6" xfId="1" applyNumberFormat="1" applyFont="1" applyBorder="1"/>
    <xf numFmtId="38" fontId="9" fillId="0" borderId="0" xfId="1" applyNumberFormat="1" applyFont="1" applyBorder="1"/>
    <xf numFmtId="172" fontId="9" fillId="0" borderId="0" xfId="2" applyNumberFormat="1" applyFont="1" applyBorder="1"/>
    <xf numFmtId="0" fontId="7" fillId="0" borderId="0" xfId="0" applyFont="1"/>
    <xf numFmtId="0" fontId="2" fillId="3" borderId="7" xfId="0" applyFont="1" applyFill="1" applyBorder="1"/>
    <xf numFmtId="38" fontId="2" fillId="3" borderId="4" xfId="1" applyNumberFormat="1" applyFont="1" applyFill="1" applyBorder="1"/>
    <xf numFmtId="172" fontId="12" fillId="3" borderId="0" xfId="2" applyNumberFormat="1" applyFont="1" applyFill="1" applyBorder="1"/>
    <xf numFmtId="0" fontId="2" fillId="3" borderId="6" xfId="0" applyFont="1" applyFill="1" applyBorder="1"/>
    <xf numFmtId="0" fontId="9" fillId="0" borderId="11" xfId="0" applyFont="1" applyBorder="1"/>
    <xf numFmtId="169" fontId="9" fillId="0" borderId="4" xfId="1" applyNumberFormat="1" applyFont="1" applyBorder="1"/>
    <xf numFmtId="9" fontId="9" fillId="0" borderId="4" xfId="2" applyFont="1" applyBorder="1"/>
    <xf numFmtId="0" fontId="7" fillId="3" borderId="5" xfId="0" applyFont="1" applyFill="1" applyBorder="1" applyAlignment="1">
      <alignment horizontal="left" indent="1"/>
    </xf>
    <xf numFmtId="0" fontId="7" fillId="0" borderId="5" xfId="0" applyFont="1" applyBorder="1" applyAlignment="1">
      <alignment horizontal="left" indent="1"/>
    </xf>
    <xf numFmtId="0" fontId="8" fillId="0" borderId="5" xfId="0" applyFont="1" applyBorder="1" applyAlignment="1">
      <alignment horizontal="left" indent="2"/>
    </xf>
    <xf numFmtId="0" fontId="9" fillId="0" borderId="5" xfId="0" applyFont="1" applyBorder="1" applyAlignment="1">
      <alignment horizontal="left" indent="1"/>
    </xf>
    <xf numFmtId="0" fontId="2" fillId="3" borderId="5" xfId="0" applyFont="1" applyFill="1" applyBorder="1" applyAlignment="1">
      <alignment horizontal="left" indent="1"/>
    </xf>
    <xf numFmtId="0" fontId="11" fillId="0" borderId="0" xfId="0" applyFont="1" applyAlignment="1">
      <alignment horizontal="center"/>
    </xf>
    <xf numFmtId="166" fontId="14" fillId="0" borderId="0" xfId="0" applyNumberFormat="1" applyFont="1" applyAlignment="1">
      <alignment horizontal="center"/>
    </xf>
    <xf numFmtId="167" fontId="25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66" fontId="14" fillId="0" borderId="0" xfId="0" applyNumberFormat="1" applyFont="1" applyAlignment="1">
      <alignment horizontal="center"/>
    </xf>
    <xf numFmtId="167" fontId="25" fillId="0" borderId="0" xfId="0" applyNumberFormat="1" applyFont="1" applyAlignment="1">
      <alignment horizontal="center"/>
    </xf>
    <xf numFmtId="38" fontId="9" fillId="0" borderId="0" xfId="0" applyNumberFormat="1" applyFont="1"/>
    <xf numFmtId="0" fontId="9" fillId="3" borderId="7" xfId="0" applyFont="1" applyFill="1" applyBorder="1"/>
    <xf numFmtId="172" fontId="9" fillId="3" borderId="0" xfId="2" applyNumberFormat="1" applyFont="1" applyFill="1" applyBorder="1"/>
    <xf numFmtId="0" fontId="9" fillId="3" borderId="6" xfId="0" applyFont="1" applyFill="1" applyBorder="1"/>
    <xf numFmtId="38" fontId="9" fillId="3" borderId="3" xfId="1" applyNumberFormat="1" applyFont="1" applyFill="1" applyBorder="1"/>
    <xf numFmtId="164" fontId="9" fillId="0" borderId="0" xfId="1" applyFont="1"/>
    <xf numFmtId="0" fontId="10" fillId="0" borderId="0" xfId="0" applyFont="1" applyAlignment="1">
      <alignment horizontal="center"/>
    </xf>
    <xf numFmtId="0" fontId="24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166" fontId="25" fillId="0" borderId="0" xfId="0" applyNumberFormat="1" applyFont="1" applyAlignment="1">
      <alignment horizontal="center"/>
    </xf>
    <xf numFmtId="0" fontId="9" fillId="0" borderId="0" xfId="0" applyFont="1" applyFill="1" applyBorder="1"/>
    <xf numFmtId="0" fontId="18" fillId="0" borderId="5" xfId="0" applyFont="1" applyFill="1" applyBorder="1" applyAlignment="1">
      <alignment vertical="center"/>
    </xf>
    <xf numFmtId="0" fontId="22" fillId="0" borderId="5" xfId="0" applyFont="1" applyFill="1" applyBorder="1" applyAlignment="1">
      <alignment vertical="center"/>
    </xf>
    <xf numFmtId="0" fontId="7" fillId="0" borderId="5" xfId="0" applyFont="1" applyFill="1" applyBorder="1"/>
    <xf numFmtId="0" fontId="8" fillId="0" borderId="5" xfId="0" applyFont="1" applyFill="1" applyBorder="1"/>
    <xf numFmtId="165" fontId="8" fillId="0" borderId="5" xfId="1" applyNumberFormat="1" applyFont="1" applyFill="1" applyBorder="1"/>
    <xf numFmtId="0" fontId="9" fillId="0" borderId="5" xfId="0" applyFont="1" applyFill="1" applyBorder="1"/>
    <xf numFmtId="0" fontId="2" fillId="0" borderId="5" xfId="0" applyFont="1" applyFill="1" applyBorder="1"/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/>
    </xf>
    <xf numFmtId="166" fontId="25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173" fontId="12" fillId="4" borderId="21" xfId="0" applyNumberFormat="1" applyFont="1" applyFill="1" applyBorder="1" applyAlignment="1">
      <alignment horizontal="center"/>
    </xf>
    <xf numFmtId="0" fontId="12" fillId="4" borderId="21" xfId="0" applyFont="1" applyFill="1" applyBorder="1" applyAlignment="1">
      <alignment horizontal="center"/>
    </xf>
    <xf numFmtId="17" fontId="9" fillId="0" borderId="0" xfId="0" applyNumberFormat="1" applyFont="1" applyAlignment="1">
      <alignment horizontal="left"/>
    </xf>
    <xf numFmtId="174" fontId="9" fillId="0" borderId="0" xfId="0" applyNumberFormat="1" applyFont="1"/>
    <xf numFmtId="175" fontId="9" fillId="0" borderId="0" xfId="2" applyNumberFormat="1" applyFont="1"/>
    <xf numFmtId="9" fontId="26" fillId="0" borderId="0" xfId="2" applyFont="1" applyAlignment="1">
      <alignment horizontal="center"/>
    </xf>
    <xf numFmtId="174" fontId="9" fillId="0" borderId="0" xfId="3" applyNumberFormat="1" applyFont="1" applyAlignment="1">
      <alignment horizontal="right"/>
    </xf>
    <xf numFmtId="4" fontId="9" fillId="0" borderId="0" xfId="0" applyNumberFormat="1" applyFont="1"/>
    <xf numFmtId="0" fontId="27" fillId="0" borderId="0" xfId="0" applyFont="1" applyAlignment="1">
      <alignment horizontal="left"/>
    </xf>
    <xf numFmtId="176" fontId="12" fillId="0" borderId="0" xfId="0" quotePrefix="1" applyNumberFormat="1" applyFont="1" applyBorder="1" applyAlignment="1">
      <alignment horizontal="center"/>
    </xf>
    <xf numFmtId="177" fontId="8" fillId="0" borderId="0" xfId="0" applyNumberFormat="1" applyFont="1" applyAlignment="1">
      <alignment vertical="center"/>
    </xf>
    <xf numFmtId="17" fontId="9" fillId="0" borderId="0" xfId="0" applyNumberFormat="1" applyFont="1"/>
    <xf numFmtId="171" fontId="5" fillId="0" borderId="3" xfId="0" applyNumberFormat="1" applyFont="1" applyFill="1" applyBorder="1" applyAlignment="1" applyProtection="1">
      <alignment vertical="center"/>
    </xf>
    <xf numFmtId="171" fontId="5" fillId="0" borderId="4" xfId="0" applyNumberFormat="1" applyFont="1" applyFill="1" applyBorder="1" applyAlignment="1" applyProtection="1">
      <alignment vertical="center"/>
    </xf>
    <xf numFmtId="0" fontId="9" fillId="0" borderId="0" xfId="0" applyFont="1" applyFill="1"/>
    <xf numFmtId="0" fontId="7" fillId="0" borderId="5" xfId="0" applyFont="1" applyFill="1" applyBorder="1" applyAlignment="1">
      <alignment horizontal="left" indent="1"/>
    </xf>
    <xf numFmtId="0" fontId="7" fillId="0" borderId="7" xfId="0" applyFont="1" applyFill="1" applyBorder="1"/>
    <xf numFmtId="38" fontId="7" fillId="0" borderId="0" xfId="1" applyNumberFormat="1" applyFont="1" applyFill="1" applyBorder="1"/>
    <xf numFmtId="172" fontId="8" fillId="0" borderId="0" xfId="2" applyNumberFormat="1" applyFont="1" applyFill="1" applyBorder="1"/>
    <xf numFmtId="0" fontId="7" fillId="0" borderId="6" xfId="0" applyFont="1" applyFill="1" applyBorder="1"/>
    <xf numFmtId="0" fontId="12" fillId="0" borderId="6" xfId="0" applyFont="1" applyFill="1" applyBorder="1"/>
    <xf numFmtId="9" fontId="17" fillId="0" borderId="6" xfId="2" applyFont="1" applyBorder="1"/>
    <xf numFmtId="9" fontId="17" fillId="0" borderId="0" xfId="2" applyFont="1" applyBorder="1"/>
    <xf numFmtId="0" fontId="7" fillId="0" borderId="7" xfId="0" applyFont="1" applyBorder="1" applyAlignment="1">
      <alignment horizontal="left"/>
    </xf>
    <xf numFmtId="38" fontId="8" fillId="0" borderId="2" xfId="1" applyNumberFormat="1" applyFont="1" applyFill="1" applyBorder="1"/>
    <xf numFmtId="0" fontId="20" fillId="0" borderId="0" xfId="0" applyFont="1" applyBorder="1"/>
    <xf numFmtId="174" fontId="9" fillId="0" borderId="0" xfId="0" applyNumberFormat="1" applyFont="1" applyBorder="1"/>
    <xf numFmtId="0" fontId="20" fillId="0" borderId="0" xfId="0" applyFont="1" applyBorder="1" applyAlignment="1">
      <alignment horizontal="right"/>
    </xf>
    <xf numFmtId="0" fontId="9" fillId="0" borderId="0" xfId="0" applyFont="1" applyAlignment="1">
      <alignment wrapText="1"/>
    </xf>
    <xf numFmtId="0" fontId="9" fillId="0" borderId="0" xfId="0" applyFont="1" applyAlignment="1"/>
    <xf numFmtId="0" fontId="9" fillId="0" borderId="0" xfId="0" applyFont="1" applyAlignment="1">
      <alignment horizontal="left" indent="3"/>
    </xf>
    <xf numFmtId="3" fontId="9" fillId="0" borderId="23" xfId="0" applyNumberFormat="1" applyFont="1" applyBorder="1" applyAlignment="1">
      <alignment horizontal="center"/>
    </xf>
    <xf numFmtId="178" fontId="20" fillId="0" borderId="0" xfId="1" applyNumberFormat="1" applyFont="1" applyBorder="1"/>
    <xf numFmtId="178" fontId="9" fillId="0" borderId="0" xfId="1" applyNumberFormat="1" applyFont="1" applyBorder="1"/>
    <xf numFmtId="174" fontId="12" fillId="0" borderId="0" xfId="0" applyNumberFormat="1" applyFont="1" applyBorder="1"/>
    <xf numFmtId="178" fontId="12" fillId="4" borderId="22" xfId="1" applyNumberFormat="1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29" fillId="0" borderId="0" xfId="0" applyFont="1" applyBorder="1" applyAlignment="1">
      <alignment vertical="center" wrapText="1"/>
    </xf>
    <xf numFmtId="167" fontId="25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166" fontId="25" fillId="0" borderId="0" xfId="0" applyNumberFormat="1" applyFont="1" applyAlignment="1">
      <alignment horizontal="center"/>
    </xf>
    <xf numFmtId="168" fontId="16" fillId="2" borderId="18" xfId="0" applyNumberFormat="1" applyFont="1" applyFill="1" applyBorder="1" applyAlignment="1">
      <alignment horizontal="center" vertical="center"/>
    </xf>
    <xf numFmtId="168" fontId="16" fillId="2" borderId="19" xfId="0" applyNumberFormat="1" applyFont="1" applyFill="1" applyBorder="1" applyAlignment="1">
      <alignment horizontal="center" vertical="center"/>
    </xf>
    <xf numFmtId="168" fontId="16" fillId="2" borderId="20" xfId="0" applyNumberFormat="1" applyFont="1" applyFill="1" applyBorder="1" applyAlignment="1">
      <alignment horizontal="center" vertical="center"/>
    </xf>
    <xf numFmtId="166" fontId="14" fillId="0" borderId="0" xfId="0" applyNumberFormat="1" applyFont="1" applyAlignment="1">
      <alignment horizontal="center"/>
    </xf>
    <xf numFmtId="168" fontId="19" fillId="2" borderId="19" xfId="0" applyNumberFormat="1" applyFont="1" applyFill="1" applyBorder="1" applyAlignment="1">
      <alignment horizontal="center" vertical="center"/>
    </xf>
    <xf numFmtId="173" fontId="19" fillId="2" borderId="19" xfId="0" applyNumberFormat="1" applyFont="1" applyFill="1" applyBorder="1" applyAlignment="1">
      <alignment horizontal="center" vertical="center"/>
    </xf>
    <xf numFmtId="167" fontId="25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 indent="1"/>
    </xf>
    <xf numFmtId="0" fontId="12" fillId="4" borderId="0" xfId="0" applyFont="1" applyFill="1" applyBorder="1" applyAlignment="1">
      <alignment horizontal="center" wrapText="1"/>
    </xf>
    <xf numFmtId="0" fontId="12" fillId="4" borderId="21" xfId="0" applyFont="1" applyFill="1" applyBorder="1" applyAlignment="1">
      <alignment horizontal="center" wrapText="1"/>
    </xf>
    <xf numFmtId="3" fontId="9" fillId="0" borderId="18" xfId="0" applyNumberFormat="1" applyFont="1" applyBorder="1" applyAlignment="1">
      <alignment horizontal="center"/>
    </xf>
    <xf numFmtId="3" fontId="9" fillId="0" borderId="19" xfId="0" applyNumberFormat="1" applyFont="1" applyBorder="1" applyAlignment="1">
      <alignment horizontal="center"/>
    </xf>
    <xf numFmtId="3" fontId="9" fillId="0" borderId="20" xfId="0" applyNumberFormat="1" applyFont="1" applyBorder="1" applyAlignment="1">
      <alignment horizontal="center"/>
    </xf>
    <xf numFmtId="171" fontId="2" fillId="0" borderId="0" xfId="0" applyNumberFormat="1" applyFont="1" applyFill="1" applyBorder="1" applyAlignment="1" applyProtection="1">
      <alignment horizontal="center" vertical="center"/>
    </xf>
    <xf numFmtId="171" fontId="3" fillId="0" borderId="0" xfId="0" applyNumberFormat="1" applyFont="1" applyFill="1" applyBorder="1" applyAlignment="1" applyProtection="1">
      <alignment horizontal="center" vertical="center"/>
    </xf>
  </cellXfs>
  <cellStyles count="4">
    <cellStyle name="Comma" xfId="1" builtinId="3"/>
    <cellStyle name="Comma 2" xfId="3" xr:uid="{00000000-0005-0000-0000-000001000000}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9D1F34"/>
      <color rgb="FFA50021"/>
      <color rgb="FF800000"/>
      <color rgb="FFFF9933"/>
      <color rgb="FF00FF00"/>
      <color rgb="FF003366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by Bus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'Financial Highlights'!$C$25</c:f>
              <c:strCache>
                <c:ptCount val="1"/>
                <c:pt idx="0">
                  <c:v>Bus#1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cat>
            <c:numRef>
              <c:f>'Financial Highlights'!$B$26:$B$31</c:f>
              <c:numCache>
                <c:formatCode>mmm\-yy</c:formatCode>
                <c:ptCount val="6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</c:numCache>
            </c:numRef>
          </c:cat>
          <c:val>
            <c:numRef>
              <c:f>'Financial Highlights'!$C$26:$C$31</c:f>
              <c:numCache>
                <c:formatCode>_(* #,##0_);_(* \(#,##0\);_(* "-"??_);_(@_)</c:formatCode>
                <c:ptCount val="6"/>
                <c:pt idx="0">
                  <c:v>776.15</c:v>
                </c:pt>
                <c:pt idx="1">
                  <c:v>610</c:v>
                </c:pt>
                <c:pt idx="2">
                  <c:v>735</c:v>
                </c:pt>
                <c:pt idx="3">
                  <c:v>669.5</c:v>
                </c:pt>
                <c:pt idx="4">
                  <c:v>757.5</c:v>
                </c:pt>
                <c:pt idx="5">
                  <c:v>790.5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7A-4E9D-9D55-4E2C82618E13}"/>
            </c:ext>
          </c:extLst>
        </c:ser>
        <c:ser>
          <c:idx val="1"/>
          <c:order val="1"/>
          <c:tx>
            <c:strRef>
              <c:f>'Financial Highlights'!$D$25</c:f>
              <c:strCache>
                <c:ptCount val="1"/>
                <c:pt idx="0">
                  <c:v>Bus#2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cat>
            <c:numRef>
              <c:f>'Financial Highlights'!$B$26:$B$31</c:f>
              <c:numCache>
                <c:formatCode>mmm\-yy</c:formatCode>
                <c:ptCount val="6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</c:numCache>
            </c:numRef>
          </c:cat>
          <c:val>
            <c:numRef>
              <c:f>'Financial Highlights'!$D$26:$D$31</c:f>
              <c:numCache>
                <c:formatCode>_(* #,##0_);_(* \(#,##0\);_(* "-"??_);_(@_)</c:formatCode>
                <c:ptCount val="6"/>
                <c:pt idx="0">
                  <c:v>794.5</c:v>
                </c:pt>
                <c:pt idx="1">
                  <c:v>670</c:v>
                </c:pt>
                <c:pt idx="2">
                  <c:v>859.5</c:v>
                </c:pt>
                <c:pt idx="3">
                  <c:v>834.5</c:v>
                </c:pt>
                <c:pt idx="4">
                  <c:v>871</c:v>
                </c:pt>
                <c:pt idx="5">
                  <c:v>835.5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7A-4E9D-9D55-4E2C82618E13}"/>
            </c:ext>
          </c:extLst>
        </c:ser>
        <c:ser>
          <c:idx val="2"/>
          <c:order val="2"/>
          <c:tx>
            <c:strRef>
              <c:f>'Financial Highlights'!$E$25</c:f>
              <c:strCache>
                <c:ptCount val="1"/>
                <c:pt idx="0">
                  <c:v>Bus#3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cat>
            <c:numRef>
              <c:f>'Financial Highlights'!$B$26:$B$31</c:f>
              <c:numCache>
                <c:formatCode>mmm\-yy</c:formatCode>
                <c:ptCount val="6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</c:numCache>
            </c:numRef>
          </c:cat>
          <c:val>
            <c:numRef>
              <c:f>'Financial Highlights'!$E$26:$E$31</c:f>
              <c:numCache>
                <c:formatCode>_(* #,##0_);_(* \(#,##0\);_(* "-"??_);_(@_)</c:formatCode>
                <c:ptCount val="6"/>
                <c:pt idx="0">
                  <c:v>821</c:v>
                </c:pt>
                <c:pt idx="1">
                  <c:v>514</c:v>
                </c:pt>
                <c:pt idx="2">
                  <c:v>185.5</c:v>
                </c:pt>
                <c:pt idx="3">
                  <c:v>642.5</c:v>
                </c:pt>
                <c:pt idx="4">
                  <c:v>878.25</c:v>
                </c:pt>
                <c:pt idx="5">
                  <c:v>846.5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11-4127-90EE-70F3AE0878C3}"/>
            </c:ext>
          </c:extLst>
        </c:ser>
        <c:ser>
          <c:idx val="3"/>
          <c:order val="3"/>
          <c:tx>
            <c:strRef>
              <c:f>'Financial Highlights'!$F$25</c:f>
              <c:strCache>
                <c:ptCount val="1"/>
                <c:pt idx="0">
                  <c:v>Bus#4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cat>
            <c:numRef>
              <c:f>'Financial Highlights'!$B$26:$B$31</c:f>
              <c:numCache>
                <c:formatCode>mmm\-yy</c:formatCode>
                <c:ptCount val="6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</c:numCache>
            </c:numRef>
          </c:cat>
          <c:val>
            <c:numRef>
              <c:f>'Financial Highlights'!$F$26:$F$31</c:f>
              <c:numCache>
                <c:formatCode>_(* #,##0_);_(* \(#,##0\);_(* "-"??_);_(@_)</c:formatCode>
                <c:ptCount val="6"/>
                <c:pt idx="0">
                  <c:v>877</c:v>
                </c:pt>
                <c:pt idx="1">
                  <c:v>703</c:v>
                </c:pt>
                <c:pt idx="2">
                  <c:v>855</c:v>
                </c:pt>
                <c:pt idx="3">
                  <c:v>894.25</c:v>
                </c:pt>
                <c:pt idx="4">
                  <c:v>366</c:v>
                </c:pt>
                <c:pt idx="5">
                  <c:v>452.5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11-4127-90EE-70F3AE087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>
              <a:solidFill>
                <a:schemeClr val="dk1">
                  <a:lumMod val="35000"/>
                  <a:lumOff val="65000"/>
                </a:schemeClr>
              </a:solidFill>
              <a:prstDash val="dash"/>
            </a:ln>
            <a:effectLst/>
          </c:spPr>
        </c:dropLines>
        <c:marker val="1"/>
        <c:smooth val="0"/>
        <c:axId val="678316008"/>
        <c:axId val="678316336"/>
      </c:lineChart>
      <c:dateAx>
        <c:axId val="67831600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8316336"/>
        <c:crosses val="autoZero"/>
        <c:auto val="1"/>
        <c:lblOffset val="100"/>
        <c:baseTimeUnit val="months"/>
      </c:dateAx>
      <c:valAx>
        <c:axId val="67831633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8316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by Wash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'Financial Highlights'!$D$55</c:f>
              <c:strCache>
                <c:ptCount val="1"/>
                <c:pt idx="0">
                  <c:v>Normal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cat>
            <c:numRef>
              <c:f>'Financial Highlights'!$C$56:$C$61</c:f>
              <c:numCache>
                <c:formatCode>mmm\-yy</c:formatCode>
                <c:ptCount val="6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</c:numCache>
            </c:numRef>
          </c:cat>
          <c:val>
            <c:numRef>
              <c:f>'Financial Highlights'!$D$56:$D$61</c:f>
              <c:numCache>
                <c:formatCode>_-* #,##0_-;\-* #,##0_-;_-* "-"??_-;_-@_-</c:formatCode>
                <c:ptCount val="6"/>
                <c:pt idx="0">
                  <c:v>1058</c:v>
                </c:pt>
                <c:pt idx="1">
                  <c:v>1092</c:v>
                </c:pt>
                <c:pt idx="2">
                  <c:v>899.5</c:v>
                </c:pt>
                <c:pt idx="3">
                  <c:v>699.5</c:v>
                </c:pt>
                <c:pt idx="4">
                  <c:v>790.25</c:v>
                </c:pt>
                <c:pt idx="5">
                  <c:v>842.5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F2-4EF5-AB0C-6078E153DD44}"/>
            </c:ext>
          </c:extLst>
        </c:ser>
        <c:ser>
          <c:idx val="1"/>
          <c:order val="1"/>
          <c:tx>
            <c:strRef>
              <c:f>'Financial Highlights'!$E$55</c:f>
              <c:strCache>
                <c:ptCount val="1"/>
                <c:pt idx="0">
                  <c:v>Special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cat>
            <c:numRef>
              <c:f>'Financial Highlights'!$C$56:$C$61</c:f>
              <c:numCache>
                <c:formatCode>mmm\-yy</c:formatCode>
                <c:ptCount val="6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</c:numCache>
            </c:numRef>
          </c:cat>
          <c:val>
            <c:numRef>
              <c:f>'Financial Highlights'!$E$56:$E$61</c:f>
              <c:numCache>
                <c:formatCode>_-* #,##0_-;\-* #,##0_-;_-* "-"??_-;_-@_-</c:formatCode>
                <c:ptCount val="6"/>
                <c:pt idx="0">
                  <c:v>722.65</c:v>
                </c:pt>
                <c:pt idx="1">
                  <c:v>477</c:v>
                </c:pt>
                <c:pt idx="2">
                  <c:v>587</c:v>
                </c:pt>
                <c:pt idx="3">
                  <c:v>777.75</c:v>
                </c:pt>
                <c:pt idx="4">
                  <c:v>535.5</c:v>
                </c:pt>
                <c:pt idx="5">
                  <c:v>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F2-4EF5-AB0C-6078E153DD44}"/>
            </c:ext>
          </c:extLst>
        </c:ser>
        <c:ser>
          <c:idx val="2"/>
          <c:order val="2"/>
          <c:tx>
            <c:strRef>
              <c:f>'Financial Highlights'!$F$55</c:f>
              <c:strCache>
                <c:ptCount val="1"/>
                <c:pt idx="0">
                  <c:v>VIP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cat>
            <c:numRef>
              <c:f>'Financial Highlights'!$C$56:$C$61</c:f>
              <c:numCache>
                <c:formatCode>mmm\-yy</c:formatCode>
                <c:ptCount val="6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</c:numCache>
            </c:numRef>
          </c:cat>
          <c:val>
            <c:numRef>
              <c:f>'Financial Highlights'!$F$56:$F$61</c:f>
              <c:numCache>
                <c:formatCode>_-* #,##0_-;\-* #,##0_-;_-* "-"??_-;_-@_-</c:formatCode>
                <c:ptCount val="6"/>
                <c:pt idx="0">
                  <c:v>1488</c:v>
                </c:pt>
                <c:pt idx="1">
                  <c:v>928</c:v>
                </c:pt>
                <c:pt idx="2">
                  <c:v>1148.5</c:v>
                </c:pt>
                <c:pt idx="3">
                  <c:v>1563.5</c:v>
                </c:pt>
                <c:pt idx="4">
                  <c:v>1547</c:v>
                </c:pt>
                <c:pt idx="5">
                  <c:v>1507.5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F2-4EF5-AB0C-6078E153D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>
              <a:solidFill>
                <a:schemeClr val="dk1">
                  <a:lumMod val="35000"/>
                  <a:lumOff val="65000"/>
                </a:schemeClr>
              </a:solidFill>
              <a:prstDash val="dash"/>
            </a:ln>
            <a:effectLst/>
          </c:spPr>
        </c:dropLines>
        <c:marker val="1"/>
        <c:smooth val="0"/>
        <c:axId val="678316008"/>
        <c:axId val="678316336"/>
      </c:lineChart>
      <c:dateAx>
        <c:axId val="67831600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8316336"/>
        <c:crosses val="autoZero"/>
        <c:auto val="1"/>
        <c:lblOffset val="100"/>
        <c:baseTimeUnit val="months"/>
      </c:dateAx>
      <c:valAx>
        <c:axId val="67831633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8316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441511</xdr:colOff>
      <xdr:row>43</xdr:row>
      <xdr:rowOff>50989</xdr:rowOff>
    </xdr:from>
    <xdr:to>
      <xdr:col>8</xdr:col>
      <xdr:colOff>32496</xdr:colOff>
      <xdr:row>45</xdr:row>
      <xdr:rowOff>153372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25344A9-C1E6-4E30-9902-8F1D2FCFE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4805" y="8601077"/>
          <a:ext cx="2235573" cy="460972"/>
        </a:xfrm>
        <a:prstGeom prst="rect">
          <a:avLst/>
        </a:prstGeom>
      </xdr:spPr>
    </xdr:pic>
    <xdr:clientData/>
  </xdr:twoCellAnchor>
  <xdr:twoCellAnchor editAs="oneCell">
    <xdr:from>
      <xdr:col>3</xdr:col>
      <xdr:colOff>94809</xdr:colOff>
      <xdr:row>7</xdr:row>
      <xdr:rowOff>67233</xdr:rowOff>
    </xdr:from>
    <xdr:to>
      <xdr:col>9</xdr:col>
      <xdr:colOff>63334</xdr:colOff>
      <xdr:row>18</xdr:row>
      <xdr:rowOff>89645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2059597-35CB-47E6-9E16-05B3718E9D3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208" t="23986" r="16732" b="34670"/>
        <a:stretch/>
      </xdr:blipFill>
      <xdr:spPr>
        <a:xfrm>
          <a:off x="1349868" y="1344704"/>
          <a:ext cx="3509584" cy="17257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866775</xdr:colOff>
      <xdr:row>0</xdr:row>
      <xdr:rowOff>0</xdr:rowOff>
    </xdr:from>
    <xdr:to>
      <xdr:col>11</xdr:col>
      <xdr:colOff>381000</xdr:colOff>
      <xdr:row>4</xdr:row>
      <xdr:rowOff>63991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589630D-97ED-444B-B42A-B37AE2DCDB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208" t="23986" r="16732" b="34670"/>
        <a:stretch/>
      </xdr:blipFill>
      <xdr:spPr>
        <a:xfrm>
          <a:off x="6343650" y="0"/>
          <a:ext cx="2047875" cy="10069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448239</xdr:colOff>
      <xdr:row>0</xdr:row>
      <xdr:rowOff>33614</xdr:rowOff>
    </xdr:from>
    <xdr:to>
      <xdr:col>27</xdr:col>
      <xdr:colOff>19611</xdr:colOff>
      <xdr:row>3</xdr:row>
      <xdr:rowOff>278580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64EC4D-E8E1-4A74-A0B8-1E2821182E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208" t="23986" r="16732" b="34670"/>
        <a:stretch/>
      </xdr:blipFill>
      <xdr:spPr>
        <a:xfrm>
          <a:off x="7407092" y="33614"/>
          <a:ext cx="2070284" cy="10069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819148</xdr:colOff>
      <xdr:row>9</xdr:row>
      <xdr:rowOff>76200</xdr:rowOff>
    </xdr:from>
    <xdr:to>
      <xdr:col>8</xdr:col>
      <xdr:colOff>238125</xdr:colOff>
      <xdr:row>22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AB1780A-30F8-40FA-ABF1-3455BEA0E6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781050</xdr:colOff>
      <xdr:row>37</xdr:row>
      <xdr:rowOff>123825</xdr:rowOff>
    </xdr:from>
    <xdr:to>
      <xdr:col>8</xdr:col>
      <xdr:colOff>276225</xdr:colOff>
      <xdr:row>52</xdr:row>
      <xdr:rowOff>28575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05AA001-898B-4869-9B53-395BAA0060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561975</xdr:colOff>
      <xdr:row>0</xdr:row>
      <xdr:rowOff>0</xdr:rowOff>
    </xdr:from>
    <xdr:to>
      <xdr:col>9</xdr:col>
      <xdr:colOff>600075</xdr:colOff>
      <xdr:row>5</xdr:row>
      <xdr:rowOff>6841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D8D53D4-9916-4C8A-AAB8-EB84B1F52F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208" t="23986" r="16732" b="34670"/>
        <a:stretch/>
      </xdr:blipFill>
      <xdr:spPr>
        <a:xfrm>
          <a:off x="5334000" y="0"/>
          <a:ext cx="2047875" cy="10069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L48"/>
  <sheetViews>
    <sheetView showGridLines="0" tabSelected="1" topLeftCell="A24" zoomScale="85" zoomScaleNormal="85" workbookViewId="0">
      <selection activeCell="P33" sqref="P33"/>
    </sheetView>
  </sheetViews>
  <sheetFormatPr defaultRowHeight="14.25" x14ac:dyDescent="0.2"/>
  <cols>
    <col min="1" max="1" width="5.42578125" style="17" customWidth="1"/>
    <col min="2" max="5" width="6.7109375" style="17" customWidth="1"/>
    <col min="6" max="6" width="9.140625" style="17"/>
    <col min="7" max="7" width="14.7109375" style="17" bestFit="1" customWidth="1"/>
    <col min="8" max="8" width="9.140625" style="17"/>
    <col min="9" max="12" width="6.7109375" style="17" customWidth="1"/>
    <col min="13" max="16384" width="9.140625" style="17"/>
  </cols>
  <sheetData>
    <row r="4" spans="2:12" ht="15" thickBot="1" x14ac:dyDescent="0.25"/>
    <row r="5" spans="2:12" ht="15" thickTop="1" x14ac:dyDescent="0.2">
      <c r="B5" s="18"/>
      <c r="C5" s="19"/>
      <c r="D5" s="19"/>
      <c r="E5" s="19"/>
      <c r="F5" s="19"/>
      <c r="G5" s="19"/>
      <c r="H5" s="19"/>
      <c r="I5" s="19"/>
      <c r="J5" s="19"/>
      <c r="K5" s="19"/>
      <c r="L5" s="20"/>
    </row>
    <row r="6" spans="2:12" x14ac:dyDescent="0.2">
      <c r="B6" s="21"/>
      <c r="C6" s="22"/>
      <c r="D6" s="22"/>
      <c r="E6" s="22"/>
      <c r="F6" s="22"/>
      <c r="G6" s="22"/>
      <c r="H6" s="22"/>
      <c r="I6" s="22"/>
      <c r="J6" s="22"/>
      <c r="K6" s="22"/>
      <c r="L6" s="23"/>
    </row>
    <row r="7" spans="2:12" x14ac:dyDescent="0.2">
      <c r="B7" s="21"/>
      <c r="C7" s="22"/>
      <c r="D7" s="22"/>
      <c r="E7" s="22"/>
      <c r="F7" s="22"/>
      <c r="G7" s="22"/>
      <c r="H7" s="22"/>
      <c r="I7" s="22"/>
      <c r="J7" s="22"/>
      <c r="K7" s="22"/>
      <c r="L7" s="23"/>
    </row>
    <row r="8" spans="2:12" x14ac:dyDescent="0.2">
      <c r="B8" s="21"/>
      <c r="C8" s="22"/>
      <c r="D8" s="22"/>
      <c r="E8" s="22"/>
      <c r="F8" s="22"/>
      <c r="G8" s="22"/>
      <c r="H8" s="22"/>
      <c r="I8" s="22"/>
      <c r="J8" s="22"/>
      <c r="K8" s="22"/>
      <c r="L8" s="23"/>
    </row>
    <row r="9" spans="2:12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3"/>
    </row>
    <row r="10" spans="2:12" x14ac:dyDescent="0.2"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3"/>
    </row>
    <row r="11" spans="2:12" x14ac:dyDescent="0.2"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3"/>
    </row>
    <row r="12" spans="2:12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3"/>
    </row>
    <row r="13" spans="2:12" x14ac:dyDescent="0.2"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3"/>
    </row>
    <row r="14" spans="2:12" ht="9" customHeight="1" x14ac:dyDescent="0.2">
      <c r="B14" s="21"/>
      <c r="C14" s="22"/>
      <c r="D14" s="22"/>
      <c r="E14" s="22"/>
      <c r="F14" s="202"/>
      <c r="G14" s="202"/>
      <c r="H14" s="202"/>
      <c r="I14" s="22"/>
      <c r="J14" s="22"/>
      <c r="K14" s="22"/>
      <c r="L14" s="23"/>
    </row>
    <row r="15" spans="2:12" ht="9" customHeight="1" x14ac:dyDescent="0.2">
      <c r="B15" s="21"/>
      <c r="C15" s="22"/>
      <c r="D15" s="22"/>
      <c r="E15" s="22"/>
      <c r="F15" s="202"/>
      <c r="G15" s="202"/>
      <c r="H15" s="202"/>
      <c r="I15" s="22"/>
      <c r="J15" s="22"/>
      <c r="K15" s="22"/>
      <c r="L15" s="23"/>
    </row>
    <row r="16" spans="2:12" ht="9" customHeight="1" x14ac:dyDescent="0.2">
      <c r="B16" s="21"/>
      <c r="C16" s="22"/>
      <c r="D16" s="22"/>
      <c r="E16" s="22"/>
      <c r="F16" s="202"/>
      <c r="G16" s="202"/>
      <c r="H16" s="202"/>
      <c r="I16" s="22"/>
      <c r="J16" s="22"/>
      <c r="K16" s="22"/>
      <c r="L16" s="23"/>
    </row>
    <row r="17" spans="2:12" ht="9" customHeight="1" x14ac:dyDescent="0.2">
      <c r="B17" s="21"/>
      <c r="C17" s="22"/>
      <c r="D17" s="22"/>
      <c r="E17" s="22"/>
      <c r="F17" s="202"/>
      <c r="G17" s="202"/>
      <c r="H17" s="202"/>
      <c r="I17" s="22"/>
      <c r="J17" s="22"/>
      <c r="K17" s="22"/>
      <c r="L17" s="23"/>
    </row>
    <row r="18" spans="2:12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3"/>
    </row>
    <row r="19" spans="2:12" x14ac:dyDescent="0.2"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3"/>
    </row>
    <row r="20" spans="2:12" x14ac:dyDescent="0.2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3"/>
    </row>
    <row r="21" spans="2:12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3"/>
    </row>
    <row r="22" spans="2:12" x14ac:dyDescent="0.2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3"/>
    </row>
    <row r="23" spans="2:12" x14ac:dyDescent="0.2">
      <c r="B23" s="21"/>
      <c r="C23" s="22"/>
      <c r="D23" s="22"/>
      <c r="E23" s="22"/>
      <c r="F23" s="22"/>
      <c r="G23" s="22"/>
      <c r="H23" s="22"/>
      <c r="I23" s="22"/>
      <c r="J23" s="22"/>
      <c r="K23" s="22"/>
      <c r="L23" s="23"/>
    </row>
    <row r="24" spans="2:12" ht="23.25" x14ac:dyDescent="0.35">
      <c r="B24" s="21"/>
      <c r="C24" s="22"/>
      <c r="D24" s="22"/>
      <c r="E24" s="22"/>
      <c r="F24" s="22"/>
      <c r="G24" s="24" t="s">
        <v>154</v>
      </c>
      <c r="H24" s="22"/>
      <c r="I24" s="22"/>
      <c r="J24" s="22"/>
      <c r="K24" s="22"/>
      <c r="L24" s="23"/>
    </row>
    <row r="25" spans="2:12" ht="23.25" x14ac:dyDescent="0.35">
      <c r="B25" s="21"/>
      <c r="C25" s="22"/>
      <c r="D25" s="22"/>
      <c r="E25" s="22"/>
      <c r="F25" s="22"/>
      <c r="G25" s="24"/>
      <c r="H25" s="22"/>
      <c r="I25" s="22"/>
      <c r="J25" s="22"/>
      <c r="K25" s="22"/>
      <c r="L25" s="23"/>
    </row>
    <row r="26" spans="2:12" ht="23.25" x14ac:dyDescent="0.35">
      <c r="B26" s="21"/>
      <c r="C26" s="22"/>
      <c r="D26" s="22"/>
      <c r="E26" s="22"/>
      <c r="F26" s="22"/>
      <c r="G26" s="24"/>
      <c r="H26" s="22"/>
      <c r="I26" s="22"/>
      <c r="J26" s="22"/>
      <c r="K26" s="22"/>
      <c r="L26" s="23"/>
    </row>
    <row r="27" spans="2:12" ht="23.25" x14ac:dyDescent="0.35">
      <c r="B27" s="21"/>
      <c r="C27" s="22"/>
      <c r="D27" s="22"/>
      <c r="E27" s="22"/>
      <c r="F27" s="22"/>
      <c r="G27" s="24"/>
      <c r="H27" s="22"/>
      <c r="I27" s="22"/>
      <c r="J27" s="22"/>
      <c r="K27" s="22"/>
      <c r="L27" s="23"/>
    </row>
    <row r="28" spans="2:12" x14ac:dyDescent="0.2"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3"/>
    </row>
    <row r="29" spans="2:12" ht="18" x14ac:dyDescent="0.25">
      <c r="B29" s="21"/>
      <c r="C29" s="22"/>
      <c r="D29" s="22"/>
      <c r="E29" s="22"/>
      <c r="F29" s="22"/>
      <c r="G29" s="25" t="s">
        <v>34</v>
      </c>
      <c r="H29" s="22"/>
      <c r="I29" s="22"/>
      <c r="J29" s="22"/>
      <c r="K29" s="22"/>
      <c r="L29" s="23"/>
    </row>
    <row r="30" spans="2:12" ht="18" x14ac:dyDescent="0.25">
      <c r="B30" s="21"/>
      <c r="C30" s="22"/>
      <c r="D30" s="22"/>
      <c r="E30" s="22"/>
      <c r="F30" s="22"/>
      <c r="G30" s="25"/>
      <c r="H30" s="22"/>
      <c r="I30" s="22"/>
      <c r="J30" s="22"/>
      <c r="K30" s="22"/>
      <c r="L30" s="23"/>
    </row>
    <row r="31" spans="2:12" ht="18" x14ac:dyDescent="0.25">
      <c r="B31" s="21"/>
      <c r="C31" s="22"/>
      <c r="D31" s="22"/>
      <c r="E31" s="22"/>
      <c r="F31" s="22"/>
      <c r="G31" s="25"/>
      <c r="H31" s="22"/>
      <c r="I31" s="22"/>
      <c r="J31" s="22"/>
      <c r="K31" s="22"/>
      <c r="L31" s="23"/>
    </row>
    <row r="32" spans="2:12" ht="18" x14ac:dyDescent="0.25">
      <c r="B32" s="21"/>
      <c r="C32" s="22"/>
      <c r="D32" s="22"/>
      <c r="E32" s="22"/>
      <c r="F32" s="22"/>
      <c r="G32" s="25"/>
      <c r="H32" s="22"/>
      <c r="I32" s="22"/>
      <c r="J32" s="22"/>
      <c r="K32" s="22"/>
      <c r="L32" s="23"/>
    </row>
    <row r="33" spans="2:12" ht="18" x14ac:dyDescent="0.25">
      <c r="B33" s="21"/>
      <c r="C33" s="22"/>
      <c r="D33" s="22"/>
      <c r="E33" s="22"/>
      <c r="F33" s="22"/>
      <c r="G33" s="25"/>
      <c r="H33" s="22"/>
      <c r="I33" s="22"/>
      <c r="J33" s="22"/>
      <c r="K33" s="22"/>
      <c r="L33" s="23"/>
    </row>
    <row r="34" spans="2:12" x14ac:dyDescent="0.2">
      <c r="B34" s="21"/>
      <c r="C34" s="22"/>
      <c r="D34" s="22"/>
      <c r="E34" s="22"/>
      <c r="F34" s="22"/>
      <c r="H34" s="22"/>
      <c r="I34" s="22"/>
      <c r="J34" s="22"/>
      <c r="K34" s="22"/>
      <c r="L34" s="23"/>
    </row>
    <row r="35" spans="2:12" ht="15" x14ac:dyDescent="0.25">
      <c r="B35" s="21"/>
      <c r="C35" s="22"/>
      <c r="D35" s="22"/>
      <c r="E35" s="22"/>
      <c r="F35" s="22"/>
      <c r="G35" s="175">
        <v>42916</v>
      </c>
      <c r="H35" s="22"/>
      <c r="I35" s="22"/>
      <c r="J35" s="22"/>
      <c r="K35" s="22"/>
      <c r="L35" s="23"/>
    </row>
    <row r="36" spans="2:12" x14ac:dyDescent="0.2">
      <c r="B36" s="21"/>
      <c r="C36" s="22"/>
      <c r="D36" s="22"/>
      <c r="E36" s="22"/>
      <c r="F36" s="22"/>
      <c r="G36" s="22"/>
      <c r="H36" s="22"/>
      <c r="I36" s="22"/>
      <c r="J36" s="22"/>
      <c r="K36" s="22"/>
      <c r="L36" s="23"/>
    </row>
    <row r="37" spans="2:12" x14ac:dyDescent="0.2"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3"/>
    </row>
    <row r="38" spans="2:12" x14ac:dyDescent="0.2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3"/>
    </row>
    <row r="39" spans="2:12" x14ac:dyDescent="0.2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3"/>
    </row>
    <row r="40" spans="2:12" x14ac:dyDescent="0.2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3"/>
    </row>
    <row r="41" spans="2:12" x14ac:dyDescent="0.2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3"/>
    </row>
    <row r="42" spans="2:12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3"/>
    </row>
    <row r="43" spans="2:12" x14ac:dyDescent="0.2">
      <c r="B43" s="21"/>
      <c r="C43" s="22"/>
      <c r="D43" s="22"/>
      <c r="E43" s="22"/>
      <c r="F43" s="22"/>
      <c r="G43" s="203" t="s">
        <v>60</v>
      </c>
      <c r="H43" s="22"/>
      <c r="I43" s="22"/>
      <c r="J43" s="22"/>
      <c r="K43" s="22"/>
      <c r="L43" s="23"/>
    </row>
    <row r="44" spans="2:12" x14ac:dyDescent="0.2">
      <c r="B44" s="21"/>
      <c r="C44" s="22"/>
      <c r="D44" s="22"/>
      <c r="E44" s="22"/>
      <c r="F44" s="22"/>
      <c r="G44" s="203"/>
      <c r="H44" s="22"/>
      <c r="I44" s="22"/>
      <c r="J44" s="22"/>
      <c r="K44" s="22"/>
      <c r="L44" s="23"/>
    </row>
    <row r="45" spans="2:12" x14ac:dyDescent="0.2">
      <c r="B45" s="21"/>
      <c r="C45" s="22"/>
      <c r="D45" s="22"/>
      <c r="E45" s="22"/>
      <c r="F45" s="22"/>
      <c r="G45" s="203"/>
      <c r="H45" s="22"/>
      <c r="I45" s="22"/>
      <c r="J45" s="22"/>
      <c r="K45" s="22"/>
      <c r="L45" s="23"/>
    </row>
    <row r="46" spans="2:12" x14ac:dyDescent="0.2">
      <c r="B46" s="21"/>
      <c r="C46" s="22"/>
      <c r="D46" s="22"/>
      <c r="E46" s="22"/>
      <c r="F46" s="22"/>
      <c r="H46" s="22"/>
      <c r="I46" s="22"/>
      <c r="J46" s="22"/>
      <c r="K46" s="22"/>
      <c r="L46" s="23"/>
    </row>
    <row r="47" spans="2:12" ht="15" thickBot="1" x14ac:dyDescent="0.25">
      <c r="B47" s="26"/>
      <c r="C47" s="27"/>
      <c r="D47" s="27"/>
      <c r="E47" s="27"/>
      <c r="F47" s="27"/>
      <c r="G47" s="27"/>
      <c r="H47" s="27"/>
      <c r="I47" s="27"/>
      <c r="J47" s="27"/>
      <c r="K47" s="27"/>
      <c r="L47" s="28"/>
    </row>
    <row r="48" spans="2:12" ht="15" thickTop="1" x14ac:dyDescent="0.2"/>
  </sheetData>
  <printOptions horizontalCentered="1"/>
  <pageMargins left="0.7" right="0.7" top="1.5" bottom="1" header="0.3" footer="0.3"/>
  <pageSetup paperSize="9" orientation="portrait" verticalDpi="300" r:id="rId1"/>
  <headerFooter differentFirst="1"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54"/>
  <sheetViews>
    <sheetView tabSelected="1" topLeftCell="B1" zoomScaleNormal="100" zoomScaleSheetLayoutView="85" workbookViewId="0">
      <selection activeCell="P33" sqref="P33"/>
    </sheetView>
  </sheetViews>
  <sheetFormatPr defaultRowHeight="14.25" x14ac:dyDescent="0.2"/>
  <cols>
    <col min="1" max="1" width="9.140625" style="17" hidden="1" customWidth="1"/>
    <col min="2" max="2" width="6.28515625" style="17" customWidth="1"/>
    <col min="3" max="3" width="50" style="17" customWidth="1"/>
    <col min="4" max="4" width="2.7109375" style="17" customWidth="1"/>
    <col min="5" max="5" width="14.85546875" style="29" customWidth="1"/>
    <col min="6" max="6" width="7" style="30" bestFit="1" customWidth="1"/>
    <col min="7" max="7" width="1.28515625" style="17" customWidth="1"/>
    <col min="8" max="8" width="14.85546875" style="29" customWidth="1"/>
    <col min="9" max="9" width="7" style="30" bestFit="1" customWidth="1"/>
    <col min="10" max="10" width="1.28515625" style="17" customWidth="1"/>
    <col min="11" max="11" width="14.85546875" style="29" customWidth="1"/>
    <col min="12" max="12" width="7" style="30" bestFit="1" customWidth="1"/>
    <col min="13" max="13" width="1.28515625" style="17" hidden="1" customWidth="1"/>
    <col min="14" max="14" width="14.85546875" style="29" hidden="1" customWidth="1"/>
    <col min="15" max="15" width="6.28515625" style="30" hidden="1" customWidth="1"/>
    <col min="16" max="16" width="1.28515625" style="17" hidden="1" customWidth="1"/>
    <col min="17" max="17" width="15.140625" style="29" hidden="1" customWidth="1"/>
    <col min="18" max="18" width="6.5703125" style="17" hidden="1" customWidth="1"/>
    <col min="19" max="19" width="0.7109375" style="17" hidden="1" customWidth="1"/>
    <col min="20" max="20" width="5" style="17" customWidth="1"/>
    <col min="21" max="21" width="11.5703125" style="17" customWidth="1"/>
    <col min="22" max="16384" width="9.140625" style="17"/>
  </cols>
  <sheetData>
    <row r="1" spans="1:23" ht="18" customHeight="1" x14ac:dyDescent="0.25">
      <c r="C1" s="206" t="s">
        <v>154</v>
      </c>
      <c r="D1" s="206"/>
      <c r="E1" s="206"/>
      <c r="F1" s="206"/>
      <c r="G1" s="206"/>
      <c r="H1" s="206"/>
      <c r="I1" s="206"/>
      <c r="J1" s="162"/>
      <c r="K1" s="204"/>
      <c r="L1" s="204"/>
      <c r="M1" s="151"/>
      <c r="N1" s="151"/>
      <c r="O1" s="151"/>
      <c r="P1" s="151"/>
      <c r="Q1" s="150"/>
      <c r="R1" s="150"/>
    </row>
    <row r="2" spans="1:23" ht="18" customHeight="1" x14ac:dyDescent="0.25">
      <c r="C2" s="206" t="s">
        <v>6</v>
      </c>
      <c r="D2" s="206"/>
      <c r="E2" s="206"/>
      <c r="F2" s="206"/>
      <c r="G2" s="206"/>
      <c r="H2" s="206"/>
      <c r="I2" s="206"/>
      <c r="J2" s="162"/>
      <c r="K2" s="204"/>
      <c r="L2" s="204"/>
      <c r="M2" s="151"/>
      <c r="N2" s="151"/>
      <c r="O2" s="151"/>
      <c r="P2" s="151"/>
      <c r="Q2" s="150"/>
      <c r="R2" s="150"/>
    </row>
    <row r="3" spans="1:23" ht="15" customHeight="1" x14ac:dyDescent="0.25">
      <c r="C3" s="207">
        <f>'Top page'!G35</f>
        <v>42916</v>
      </c>
      <c r="D3" s="207"/>
      <c r="E3" s="207"/>
      <c r="F3" s="207"/>
      <c r="G3" s="207"/>
      <c r="H3" s="207"/>
      <c r="I3" s="207"/>
      <c r="J3" s="163"/>
      <c r="K3" s="204"/>
      <c r="L3" s="204"/>
      <c r="M3" s="152"/>
      <c r="N3" s="152"/>
      <c r="O3" s="152"/>
      <c r="P3" s="152"/>
      <c r="Q3" s="150"/>
      <c r="R3" s="150"/>
    </row>
    <row r="4" spans="1:23" ht="23.25" x14ac:dyDescent="0.2">
      <c r="C4" s="211"/>
      <c r="D4" s="211"/>
      <c r="E4" s="211"/>
      <c r="F4" s="211"/>
      <c r="G4" s="138"/>
      <c r="H4" s="138"/>
      <c r="I4" s="138"/>
      <c r="J4" s="141"/>
      <c r="K4" s="141"/>
      <c r="L4" s="141"/>
      <c r="M4" s="141"/>
      <c r="N4" s="141"/>
      <c r="O4" s="141"/>
      <c r="P4" s="150"/>
      <c r="Q4" s="150"/>
      <c r="R4" s="150"/>
    </row>
    <row r="5" spans="1:23" ht="21" customHeight="1" thickBot="1" x14ac:dyDescent="0.25"/>
    <row r="6" spans="1:23" s="31" customFormat="1" ht="23.25" customHeight="1" thickTop="1" thickBot="1" x14ac:dyDescent="0.25">
      <c r="C6" s="32" t="s">
        <v>19</v>
      </c>
      <c r="D6" s="33"/>
      <c r="E6" s="34">
        <f>C3</f>
        <v>42916</v>
      </c>
      <c r="F6" s="35"/>
      <c r="G6" s="208">
        <f>E6-31</f>
        <v>42885</v>
      </c>
      <c r="H6" s="209"/>
      <c r="I6" s="210"/>
      <c r="J6" s="208">
        <f>+G6-30</f>
        <v>42855</v>
      </c>
      <c r="K6" s="209"/>
      <c r="L6" s="210"/>
      <c r="M6" s="208">
        <f>+J6-28</f>
        <v>42827</v>
      </c>
      <c r="N6" s="209"/>
      <c r="O6" s="210"/>
      <c r="P6" s="208">
        <v>42735</v>
      </c>
      <c r="Q6" s="209"/>
      <c r="R6" s="209"/>
      <c r="S6" s="36"/>
    </row>
    <row r="7" spans="1:23" s="37" customFormat="1" ht="24.75" customHeight="1" thickTop="1" x14ac:dyDescent="0.25">
      <c r="C7" s="38" t="s">
        <v>12</v>
      </c>
      <c r="D7" s="38"/>
      <c r="E7" s="39"/>
      <c r="F7" s="40"/>
      <c r="G7" s="38"/>
      <c r="H7" s="39"/>
      <c r="I7" s="40"/>
      <c r="J7" s="38"/>
      <c r="K7" s="39"/>
      <c r="L7" s="40"/>
      <c r="M7" s="38"/>
      <c r="N7" s="39"/>
      <c r="O7" s="40"/>
      <c r="P7" s="41"/>
      <c r="Q7" s="39"/>
      <c r="R7" s="42"/>
      <c r="S7" s="43"/>
    </row>
    <row r="8" spans="1:23" ht="15.75" x14ac:dyDescent="0.25">
      <c r="C8" s="8" t="s">
        <v>7</v>
      </c>
      <c r="D8" s="9"/>
      <c r="E8" s="10"/>
      <c r="F8" s="44"/>
      <c r="G8" s="9"/>
      <c r="H8" s="10"/>
      <c r="I8" s="44"/>
      <c r="J8" s="9"/>
      <c r="K8" s="10"/>
      <c r="L8" s="44"/>
      <c r="M8" s="9"/>
      <c r="N8" s="10"/>
      <c r="O8" s="44"/>
      <c r="P8" s="45"/>
      <c r="Q8" s="10"/>
      <c r="R8" s="46"/>
      <c r="S8" s="23"/>
    </row>
    <row r="9" spans="1:23" ht="15" x14ac:dyDescent="0.2">
      <c r="A9" s="5" t="s">
        <v>79</v>
      </c>
      <c r="C9" s="11" t="s">
        <v>81</v>
      </c>
      <c r="D9" s="9"/>
      <c r="E9" s="13">
        <f>VLOOKUP('Balance Sheet'!A9,'BS Xero'!A:D,2,0)</f>
        <v>16010</v>
      </c>
      <c r="F9" s="47">
        <f>E9/E$26</f>
        <v>1.2186887943810911</v>
      </c>
      <c r="G9" s="9"/>
      <c r="H9" s="13">
        <f>VLOOKUP('Balance Sheet'!A9,'BS Xero'!A:G,3,0)</f>
        <v>16010</v>
      </c>
      <c r="I9" s="47">
        <f>H9/H$26</f>
        <v>1.373605160156699</v>
      </c>
      <c r="J9" s="9"/>
      <c r="K9" s="13">
        <f>VLOOKUP('Balance Sheet'!A9,'BS Xero'!A:G,4,0)</f>
        <v>16010</v>
      </c>
      <c r="L9" s="47">
        <f>K9/K$26</f>
        <v>1.1947466965365781</v>
      </c>
      <c r="M9" s="9"/>
      <c r="N9" s="13">
        <f>VLOOKUP('Balance Sheet'!A9,'BS Xero'!A:G,5,0)</f>
        <v>16010</v>
      </c>
      <c r="O9" s="47" t="e">
        <f>N9/N$26</f>
        <v>#REF!</v>
      </c>
      <c r="P9" s="48"/>
      <c r="Q9" s="13">
        <f>VLOOKUP('Balance Sheet'!A9,'BS Xero'!A:G,6,0)</f>
        <v>16010</v>
      </c>
      <c r="R9" s="49" t="e">
        <f>Q9/Q$26</f>
        <v>#REF!</v>
      </c>
      <c r="S9" s="23"/>
    </row>
    <row r="10" spans="1:23" ht="15" x14ac:dyDescent="0.2">
      <c r="A10" s="5" t="s">
        <v>106</v>
      </c>
      <c r="C10" s="11" t="s">
        <v>113</v>
      </c>
      <c r="D10" s="12"/>
      <c r="E10" s="14">
        <f>VLOOKUP('Balance Sheet'!A10,'BS Xero'!A:D,2,0)</f>
        <v>3399</v>
      </c>
      <c r="F10" s="47">
        <f>E10/E$26</f>
        <v>0.25873349232363074</v>
      </c>
      <c r="G10" s="12"/>
      <c r="H10" s="14">
        <f>VLOOKUP('Balance Sheet'!A10,'BS Xero'!A:G,3,0)</f>
        <v>3399</v>
      </c>
      <c r="I10" s="47">
        <f>H10/H$26</f>
        <v>0.29162298184713425</v>
      </c>
      <c r="J10" s="12"/>
      <c r="K10" s="14">
        <f>VLOOKUP('Balance Sheet'!A10,'BS Xero'!A:G,4,0)</f>
        <v>3399</v>
      </c>
      <c r="L10" s="47">
        <f>K10/K$26</f>
        <v>0.25365046980186312</v>
      </c>
      <c r="M10" s="12"/>
      <c r="N10" s="13">
        <f>VLOOKUP('Balance Sheet'!A10,'BS Xero'!A:G,5,0)</f>
        <v>3399</v>
      </c>
      <c r="O10" s="47" t="e">
        <f>N10/N$26</f>
        <v>#REF!</v>
      </c>
      <c r="P10" s="48"/>
      <c r="Q10" s="13">
        <f>VLOOKUP('Balance Sheet'!A10,'BS Xero'!A:G,6,0)</f>
        <v>3399</v>
      </c>
      <c r="R10" s="49" t="e">
        <f>Q10/Q$26</f>
        <v>#REF!</v>
      </c>
      <c r="S10" s="50"/>
      <c r="U10" s="93"/>
      <c r="V10" s="143"/>
      <c r="W10" s="93"/>
    </row>
    <row r="11" spans="1:23" ht="15" x14ac:dyDescent="0.2">
      <c r="C11" s="11" t="s">
        <v>8</v>
      </c>
      <c r="D11" s="12"/>
      <c r="E11" s="13">
        <f>SUM(E9:E10)</f>
        <v>19409</v>
      </c>
      <c r="F11" s="47">
        <f>E11/E$26</f>
        <v>1.4774222867047218</v>
      </c>
      <c r="G11" s="12"/>
      <c r="H11" s="13">
        <f>SUM(H9:H10)</f>
        <v>19409</v>
      </c>
      <c r="I11" s="47">
        <f>H11/H$26</f>
        <v>1.6652281420038333</v>
      </c>
      <c r="J11" s="12"/>
      <c r="K11" s="13">
        <f>SUM(K9:K10)</f>
        <v>19409</v>
      </c>
      <c r="L11" s="47">
        <f>K11/K$26</f>
        <v>1.4483971663384412</v>
      </c>
      <c r="M11" s="12"/>
      <c r="N11" s="13">
        <f>SUM(N9:N10)</f>
        <v>19409</v>
      </c>
      <c r="O11" s="47" t="e">
        <f>N11/N$26</f>
        <v>#REF!</v>
      </c>
      <c r="P11" s="48"/>
      <c r="Q11" s="13">
        <f>SUM(Q9:Q10)</f>
        <v>19409</v>
      </c>
      <c r="R11" s="49" t="e">
        <f>Q11/Q$26</f>
        <v>#REF!</v>
      </c>
      <c r="S11" s="50"/>
    </row>
    <row r="12" spans="1:23" ht="15" x14ac:dyDescent="0.2">
      <c r="A12" s="5" t="s">
        <v>59</v>
      </c>
      <c r="C12" s="11" t="s">
        <v>84</v>
      </c>
      <c r="D12" s="12"/>
      <c r="E12" s="13">
        <f>VLOOKUP("   Acc. Dep. Cars",'BS Xero'!A:D,2,0)+VLOOKUP("   Acc. Dep. Machine",'BS Xero'!A:D,2,0)</f>
        <v>-13898.61</v>
      </c>
      <c r="F12" s="47">
        <f>E12/E$26</f>
        <v>-1.0579687860382871</v>
      </c>
      <c r="G12" s="12"/>
      <c r="H12" s="13">
        <f>VLOOKUP("   Acc. Dep. Cars",'BS Xero'!A:D,3,0)+VLOOKUP("   Acc. Dep. Machine",'BS Xero'!A:D,3,0)</f>
        <v>-13668.47</v>
      </c>
      <c r="I12" s="47">
        <f>H12/H$26</f>
        <v>-1.1727096142065605</v>
      </c>
      <c r="J12" s="12"/>
      <c r="K12" s="13">
        <f>VLOOKUP("   Acc. Dep. Cars",'BS Xero'!A:D,4,0)+VLOOKUP("   Acc. Dep. Machine",'BS Xero'!A:D,4,0)</f>
        <v>-13428.68</v>
      </c>
      <c r="L12" s="47">
        <f>K12/K$26</f>
        <v>-1.002115619540713</v>
      </c>
      <c r="M12" s="12"/>
      <c r="N12" s="13">
        <f>SUM('BS Xero'!F27:F32)</f>
        <v>13986.05</v>
      </c>
      <c r="O12" s="47" t="e">
        <f>N12/N$26</f>
        <v>#REF!</v>
      </c>
      <c r="P12" s="48"/>
      <c r="Q12" s="13">
        <f>SUM('BS Xero'!G27:G32)</f>
        <v>0</v>
      </c>
      <c r="R12" s="49" t="e">
        <f>Q12/Q$26</f>
        <v>#REF!</v>
      </c>
      <c r="S12" s="50"/>
    </row>
    <row r="13" spans="1:23" s="37" customFormat="1" ht="15.75" x14ac:dyDescent="0.25">
      <c r="C13" s="8" t="s">
        <v>9</v>
      </c>
      <c r="D13" s="53"/>
      <c r="E13" s="54">
        <f>+E12+E11</f>
        <v>5510.3899999999994</v>
      </c>
      <c r="F13" s="187">
        <f>E13/E$26</f>
        <v>0.41945350066643472</v>
      </c>
      <c r="G13" s="53"/>
      <c r="H13" s="54">
        <f>+H12+H11</f>
        <v>5740.5300000000007</v>
      </c>
      <c r="I13" s="187">
        <f>H13/H$26</f>
        <v>0.49251852779727273</v>
      </c>
      <c r="J13" s="53"/>
      <c r="K13" s="54">
        <f>+K12+K11</f>
        <v>5980.32</v>
      </c>
      <c r="L13" s="187">
        <f>K13/K$26</f>
        <v>0.44628154679772813</v>
      </c>
      <c r="M13" s="53"/>
      <c r="N13" s="54">
        <f>+N12+N11</f>
        <v>33395.050000000003</v>
      </c>
      <c r="O13" s="187" t="e">
        <f>N13/N$26</f>
        <v>#REF!</v>
      </c>
      <c r="P13" s="55"/>
      <c r="Q13" s="54">
        <f>+Q12+Q11</f>
        <v>19409</v>
      </c>
      <c r="R13" s="188" t="e">
        <f>Q13/Q$26</f>
        <v>#REF!</v>
      </c>
      <c r="S13" s="56"/>
    </row>
    <row r="14" spans="1:23" ht="15" x14ac:dyDescent="0.2">
      <c r="C14" s="15"/>
      <c r="D14" s="12"/>
      <c r="E14" s="13"/>
      <c r="F14" s="51"/>
      <c r="G14" s="12"/>
      <c r="H14" s="13"/>
      <c r="I14" s="51"/>
      <c r="J14" s="12"/>
      <c r="K14" s="13"/>
      <c r="L14" s="51"/>
      <c r="M14" s="12"/>
      <c r="N14" s="13"/>
      <c r="O14" s="51"/>
      <c r="P14" s="48"/>
      <c r="Q14" s="13"/>
      <c r="R14" s="52"/>
      <c r="S14" s="50"/>
    </row>
    <row r="15" spans="1:23" ht="15.75" x14ac:dyDescent="0.25">
      <c r="C15" s="189" t="s">
        <v>114</v>
      </c>
      <c r="D15" s="12"/>
      <c r="E15" s="13"/>
      <c r="F15" s="51"/>
      <c r="G15" s="12"/>
      <c r="H15" s="13"/>
      <c r="I15" s="51"/>
      <c r="J15" s="12"/>
      <c r="K15" s="13"/>
      <c r="L15" s="51"/>
      <c r="M15" s="12"/>
      <c r="N15" s="13"/>
      <c r="O15" s="51"/>
      <c r="P15" s="48"/>
      <c r="Q15" s="13"/>
      <c r="R15" s="52"/>
      <c r="S15" s="50"/>
      <c r="V15" s="57"/>
    </row>
    <row r="16" spans="1:23" ht="15" x14ac:dyDescent="0.2">
      <c r="A16" s="5" t="s">
        <v>77</v>
      </c>
      <c r="C16" s="15" t="s">
        <v>82</v>
      </c>
      <c r="D16" s="12"/>
      <c r="E16" s="58">
        <f>VLOOKUP('Balance Sheet'!A16,'BS Xero'!A:D,2,0)</f>
        <v>153.5</v>
      </c>
      <c r="F16" s="47">
        <f>E16/E$26</f>
        <v>1.1684492813085414E-2</v>
      </c>
      <c r="G16" s="12"/>
      <c r="H16" s="58">
        <f>VLOOKUP('Balance Sheet'!A16,'BS Xero'!A:G,3,0)</f>
        <v>58.5</v>
      </c>
      <c r="I16" s="47">
        <f>H16/H$26</f>
        <v>5.0191069249948088E-3</v>
      </c>
      <c r="J16" s="12"/>
      <c r="K16" s="58">
        <f>VLOOKUP('Balance Sheet'!A16,'BS Xero'!A:G,4,0)</f>
        <v>26.5</v>
      </c>
      <c r="L16" s="47">
        <f>K16/K$26</f>
        <v>1.9775632391142608E-3</v>
      </c>
      <c r="M16" s="12"/>
      <c r="N16" s="58">
        <f>VLOOKUP('Balance Sheet'!A16,'BS Xero'!A:G,5,0)</f>
        <v>26.5</v>
      </c>
      <c r="O16" s="47" t="e">
        <f>N16/N$26</f>
        <v>#REF!</v>
      </c>
      <c r="P16" s="48"/>
      <c r="Q16" s="58">
        <f>VLOOKUP('Balance Sheet'!A16,'BS Xero'!A:G,6,0)</f>
        <v>28</v>
      </c>
      <c r="R16" s="49" t="e">
        <f>Q16/Q$26</f>
        <v>#REF!</v>
      </c>
      <c r="S16" s="50"/>
    </row>
    <row r="17" spans="1:19" ht="15" x14ac:dyDescent="0.2">
      <c r="A17" s="5" t="s">
        <v>103</v>
      </c>
      <c r="C17" s="15" t="s">
        <v>120</v>
      </c>
      <c r="D17" s="12"/>
      <c r="E17" s="58">
        <f>VLOOKUP('Balance Sheet'!A17,'BS Xero'!A:D,2,0)</f>
        <v>1472.35</v>
      </c>
      <c r="F17" s="47">
        <f>E17/E$26</f>
        <v>0.11207598041267954</v>
      </c>
      <c r="G17" s="12"/>
      <c r="H17" s="58">
        <f>VLOOKUP('Balance Sheet'!A17,'BS Xero'!A:G,3,0)</f>
        <v>1459.25</v>
      </c>
      <c r="I17" s="47">
        <f>H17/H$26</f>
        <v>0.12519883385125941</v>
      </c>
      <c r="J17" s="12"/>
      <c r="K17" s="58">
        <f>VLOOKUP('Balance Sheet'!A17,'BS Xero'!A:G,4,0)</f>
        <v>1460.07</v>
      </c>
      <c r="L17" s="47">
        <f>K17/K$26</f>
        <v>0.10895776447296449</v>
      </c>
      <c r="M17" s="12"/>
      <c r="N17" s="58">
        <f>VLOOKUP('Balance Sheet'!A17,'BS Xero'!A:G,5,0)</f>
        <v>1366.08</v>
      </c>
      <c r="O17" s="47" t="e">
        <f>N17/N$26</f>
        <v>#REF!</v>
      </c>
      <c r="P17" s="48"/>
      <c r="Q17" s="58">
        <f>VLOOKUP('Balance Sheet'!A17,'BS Xero'!A:G,6,0)</f>
        <v>1386.07</v>
      </c>
      <c r="R17" s="49" t="e">
        <f>Q17/Q$26</f>
        <v>#REF!</v>
      </c>
      <c r="S17" s="50"/>
    </row>
    <row r="18" spans="1:19" ht="15" x14ac:dyDescent="0.2">
      <c r="A18" s="5" t="s">
        <v>104</v>
      </c>
      <c r="C18" s="15" t="s">
        <v>121</v>
      </c>
      <c r="D18" s="12"/>
      <c r="E18" s="58">
        <f>VLOOKUP('Balance Sheet'!A18,'BS Xero'!A:D,2,0)</f>
        <v>300</v>
      </c>
      <c r="F18" s="47">
        <f>E18/E$26</f>
        <v>2.2836142305704393E-2</v>
      </c>
      <c r="G18" s="12"/>
      <c r="H18" s="58">
        <f>VLOOKUP('Balance Sheet'!A18,'BS Xero'!A:G,3,0)</f>
        <v>300</v>
      </c>
      <c r="I18" s="47">
        <f>H18/H$26</f>
        <v>2.5739009871768252E-2</v>
      </c>
      <c r="J18" s="12"/>
      <c r="K18" s="58">
        <f>VLOOKUP('Balance Sheet'!A18,'BS Xero'!A:G,4,0)</f>
        <v>300</v>
      </c>
      <c r="L18" s="47">
        <f>K18/K$26</f>
        <v>2.2387508367331256E-2</v>
      </c>
      <c r="M18" s="12"/>
      <c r="N18" s="58">
        <f>VLOOKUP('Balance Sheet'!A18,'BS Xero'!A:G,5,0)</f>
        <v>300</v>
      </c>
      <c r="O18" s="47" t="e">
        <f>N18/N$26</f>
        <v>#REF!</v>
      </c>
      <c r="P18" s="48"/>
      <c r="Q18" s="58">
        <f>VLOOKUP('Balance Sheet'!A18,'BS Xero'!A:G,6,0)</f>
        <v>300</v>
      </c>
      <c r="R18" s="49" t="e">
        <f>Q18/Q$26</f>
        <v>#REF!</v>
      </c>
      <c r="S18" s="50"/>
    </row>
    <row r="19" spans="1:19" ht="15" x14ac:dyDescent="0.2">
      <c r="A19" s="5"/>
      <c r="C19" s="15"/>
      <c r="D19" s="12"/>
      <c r="E19" s="58"/>
      <c r="F19" s="47"/>
      <c r="G19" s="12"/>
      <c r="H19" s="58"/>
      <c r="I19" s="47"/>
      <c r="J19" s="12"/>
      <c r="K19" s="58"/>
      <c r="L19" s="47"/>
      <c r="M19" s="12"/>
      <c r="N19" s="58"/>
      <c r="O19" s="47"/>
      <c r="P19" s="48"/>
      <c r="Q19" s="58"/>
      <c r="R19" s="49"/>
      <c r="S19" s="50"/>
    </row>
    <row r="20" spans="1:19" ht="15" x14ac:dyDescent="0.2">
      <c r="A20" s="5"/>
      <c r="C20" s="15" t="s">
        <v>115</v>
      </c>
      <c r="D20" s="12"/>
      <c r="E20" s="58"/>
      <c r="F20" s="47"/>
      <c r="G20" s="12"/>
      <c r="H20" s="58"/>
      <c r="I20" s="47"/>
      <c r="J20" s="12"/>
      <c r="K20" s="58"/>
      <c r="L20" s="47"/>
      <c r="M20" s="12"/>
      <c r="N20" s="58"/>
      <c r="O20" s="47"/>
      <c r="P20" s="48"/>
      <c r="Q20" s="58"/>
      <c r="R20" s="49"/>
      <c r="S20" s="50"/>
    </row>
    <row r="21" spans="1:19" ht="15" x14ac:dyDescent="0.2">
      <c r="A21" s="5" t="s">
        <v>37</v>
      </c>
      <c r="C21" s="11" t="s">
        <v>117</v>
      </c>
      <c r="D21" s="12"/>
      <c r="E21" s="58">
        <f>VLOOKUP('Balance Sheet'!A21,'BS Xero'!A:D,2,0)</f>
        <v>1156.54</v>
      </c>
      <c r="F21" s="47">
        <f>E21/E$26</f>
        <v>8.8036373407464522E-2</v>
      </c>
      <c r="G21" s="12"/>
      <c r="H21" s="58">
        <f>VLOOKUP('Balance Sheet'!A21,'BS Xero'!A:G,3,0)</f>
        <v>1003.29</v>
      </c>
      <c r="I21" s="47">
        <f>H21/H$26</f>
        <v>8.607897071415456E-2</v>
      </c>
      <c r="J21" s="12"/>
      <c r="K21" s="58">
        <f>VLOOKUP('Balance Sheet'!A21,'BS Xero'!A:G,4,0)</f>
        <v>1022.55</v>
      </c>
      <c r="L21" s="47">
        <f>K21/K$26</f>
        <v>7.6307822270048578E-2</v>
      </c>
      <c r="M21" s="12"/>
      <c r="N21" s="58">
        <f>VLOOKUP('Balance Sheet'!A21,'BS Xero'!A:G,5,0)</f>
        <v>867.53</v>
      </c>
      <c r="O21" s="47" t="e">
        <f>N21/N$26</f>
        <v>#REF!</v>
      </c>
      <c r="P21" s="48"/>
      <c r="Q21" s="58">
        <f>VLOOKUP('Balance Sheet'!A21,'BS Xero'!A:G,6,0)</f>
        <v>395.84</v>
      </c>
      <c r="R21" s="49" t="e">
        <f>Q21/Q$26</f>
        <v>#REF!</v>
      </c>
      <c r="S21" s="50"/>
    </row>
    <row r="22" spans="1:19" ht="15" x14ac:dyDescent="0.2">
      <c r="A22" s="5" t="s">
        <v>101</v>
      </c>
      <c r="C22" s="11" t="s">
        <v>118</v>
      </c>
      <c r="D22" s="12"/>
      <c r="E22" s="58">
        <f>VLOOKUP('Balance Sheet'!A22,'BS Xero'!A:D,2,0)</f>
        <v>2136.29</v>
      </c>
      <c r="F22" s="47">
        <f>E22/E$26</f>
        <v>0.16261540815417747</v>
      </c>
      <c r="G22" s="12"/>
      <c r="H22" s="58">
        <f>VLOOKUP('Balance Sheet'!A22,'BS Xero'!A:G,3,0)</f>
        <v>685.89</v>
      </c>
      <c r="I22" s="47">
        <f>H22/H$26</f>
        <v>5.8847098269823747E-2</v>
      </c>
      <c r="J22" s="12"/>
      <c r="K22" s="58">
        <f>VLOOKUP('Balance Sheet'!A22,'BS Xero'!A:G,4,0)</f>
        <v>2403.39</v>
      </c>
      <c r="L22" s="47">
        <f>K22/K$26</f>
        <v>0.17935304578320088</v>
      </c>
      <c r="M22" s="12"/>
      <c r="N22" s="58">
        <f>VLOOKUP('Balance Sheet'!A22,'BS Xero'!A:G,5,0)</f>
        <v>1013.57</v>
      </c>
      <c r="O22" s="47" t="e">
        <f>N22/N$26</f>
        <v>#REF!</v>
      </c>
      <c r="P22" s="48"/>
      <c r="Q22" s="58">
        <f>VLOOKUP('Balance Sheet'!A22,'BS Xero'!A:G,6,0)</f>
        <v>3484.2</v>
      </c>
      <c r="R22" s="49" t="e">
        <f>Q22/Q$26</f>
        <v>#REF!</v>
      </c>
      <c r="S22" s="50"/>
    </row>
    <row r="23" spans="1:19" ht="15" x14ac:dyDescent="0.2">
      <c r="A23" s="5" t="s">
        <v>102</v>
      </c>
      <c r="C23" s="11" t="s">
        <v>119</v>
      </c>
      <c r="D23" s="12"/>
      <c r="E23" s="58">
        <f>VLOOKUP('Balance Sheet'!A23,'BS Xero'!A:D,2,0)</f>
        <v>2408</v>
      </c>
      <c r="F23" s="47">
        <f>E23/E$26</f>
        <v>0.18329810224045393</v>
      </c>
      <c r="G23" s="12"/>
      <c r="H23" s="58">
        <f>VLOOKUP('Balance Sheet'!A23,'BS Xero'!A:G,3,0)</f>
        <v>2408</v>
      </c>
      <c r="I23" s="47">
        <f>H23/H$26</f>
        <v>0.20659845257072648</v>
      </c>
      <c r="J23" s="12"/>
      <c r="K23" s="58">
        <f>VLOOKUP('Balance Sheet'!A23,'BS Xero'!A:G,4,0)</f>
        <v>2207.5</v>
      </c>
      <c r="L23" s="47">
        <f>K23/K$26</f>
        <v>0.1647347490696125</v>
      </c>
      <c r="M23" s="12"/>
      <c r="N23" s="58">
        <f>VLOOKUP('Balance Sheet'!A23,'BS Xero'!A:G,5,0)</f>
        <v>2065</v>
      </c>
      <c r="O23" s="47" t="e">
        <f>N23/N$26</f>
        <v>#REF!</v>
      </c>
      <c r="P23" s="48"/>
      <c r="Q23" s="58">
        <f>VLOOKUP('Balance Sheet'!A23,'BS Xero'!A:G,6,0)</f>
        <v>1921.5</v>
      </c>
      <c r="R23" s="49" t="e">
        <f>Q23/Q$26</f>
        <v>#REF!</v>
      </c>
      <c r="S23" s="50"/>
    </row>
    <row r="24" spans="1:19" ht="15" x14ac:dyDescent="0.2">
      <c r="A24" s="5"/>
      <c r="C24" s="11" t="s">
        <v>116</v>
      </c>
      <c r="D24" s="12"/>
      <c r="E24" s="190">
        <f>SUM(E21:E23)</f>
        <v>5700.83</v>
      </c>
      <c r="F24" s="47"/>
      <c r="G24" s="12"/>
      <c r="H24" s="190">
        <f>SUM(H21:H23)</f>
        <v>4097.18</v>
      </c>
      <c r="I24" s="47"/>
      <c r="J24" s="12"/>
      <c r="K24" s="190">
        <f>SUM(K21:K23)</f>
        <v>5633.44</v>
      </c>
      <c r="L24" s="47"/>
      <c r="M24" s="12"/>
      <c r="N24" s="58"/>
      <c r="O24" s="47"/>
      <c r="P24" s="48"/>
      <c r="Q24" s="58"/>
      <c r="R24" s="49"/>
      <c r="S24" s="50"/>
    </row>
    <row r="25" spans="1:19" s="37" customFormat="1" ht="21" customHeight="1" x14ac:dyDescent="0.25">
      <c r="C25" s="8" t="s">
        <v>10</v>
      </c>
      <c r="D25" s="53"/>
      <c r="E25" s="54">
        <f>SUM(E16:E18)+E24</f>
        <v>7626.68</v>
      </c>
      <c r="F25" s="47">
        <f>E25/E$26</f>
        <v>0.58054649933356528</v>
      </c>
      <c r="G25" s="53"/>
      <c r="H25" s="54">
        <f>SUM(H16:H18)+H24</f>
        <v>5914.93</v>
      </c>
      <c r="I25" s="47">
        <f>H25/H$26</f>
        <v>0.50748147220272732</v>
      </c>
      <c r="J25" s="53"/>
      <c r="K25" s="54">
        <f>SUM(K16:K18)+K24</f>
        <v>7420.0099999999993</v>
      </c>
      <c r="L25" s="47">
        <f>K25/K$26</f>
        <v>0.55371845320227187</v>
      </c>
      <c r="M25" s="53"/>
      <c r="N25" s="54">
        <f>SUM(N16:N23)</f>
        <v>5638.68</v>
      </c>
      <c r="O25" s="47" t="e">
        <f>N25/N$26</f>
        <v>#REF!</v>
      </c>
      <c r="P25" s="55"/>
      <c r="Q25" s="54">
        <f>SUM(Q16:Q23)</f>
        <v>7515.61</v>
      </c>
      <c r="R25" s="49" t="e">
        <f>Q25/Q$26</f>
        <v>#REF!</v>
      </c>
      <c r="S25" s="56"/>
    </row>
    <row r="26" spans="1:19" s="37" customFormat="1" ht="24" customHeight="1" thickBot="1" x14ac:dyDescent="0.3">
      <c r="C26" s="59" t="s">
        <v>28</v>
      </c>
      <c r="D26" s="60"/>
      <c r="E26" s="61">
        <f>+E25+E13</f>
        <v>13137.07</v>
      </c>
      <c r="F26" s="62">
        <f>E26/E$26</f>
        <v>1</v>
      </c>
      <c r="G26" s="60"/>
      <c r="H26" s="61">
        <f>+H25+H13</f>
        <v>11655.460000000001</v>
      </c>
      <c r="I26" s="62">
        <f>H26/H$26</f>
        <v>1</v>
      </c>
      <c r="J26" s="60"/>
      <c r="K26" s="61">
        <f>+K25+K13</f>
        <v>13400.329999999998</v>
      </c>
      <c r="L26" s="62">
        <f>K26/K$26</f>
        <v>1</v>
      </c>
      <c r="M26" s="60"/>
      <c r="N26" s="61" t="e">
        <f>+N25+#REF!</f>
        <v>#REF!</v>
      </c>
      <c r="O26" s="62" t="e">
        <f>N26/N$26</f>
        <v>#REF!</v>
      </c>
      <c r="P26" s="63"/>
      <c r="Q26" s="61" t="e">
        <f>+Q25+#REF!</f>
        <v>#REF!</v>
      </c>
      <c r="R26" s="64" t="e">
        <f>Q26/Q$26</f>
        <v>#REF!</v>
      </c>
      <c r="S26" s="65"/>
    </row>
    <row r="27" spans="1:19" ht="16.5" thickTop="1" thickBot="1" x14ac:dyDescent="0.25">
      <c r="C27" s="66"/>
      <c r="D27" s="67"/>
      <c r="E27" s="68"/>
      <c r="F27" s="69"/>
      <c r="G27" s="67"/>
      <c r="H27" s="68"/>
      <c r="I27" s="69"/>
      <c r="J27" s="67"/>
      <c r="K27" s="68"/>
      <c r="L27" s="69"/>
      <c r="M27" s="67"/>
      <c r="N27" s="68"/>
      <c r="O27" s="69"/>
      <c r="P27" s="67"/>
      <c r="Q27" s="68"/>
      <c r="R27" s="69"/>
      <c r="S27" s="70"/>
    </row>
    <row r="28" spans="1:19" s="37" customFormat="1" ht="16.5" thickTop="1" x14ac:dyDescent="0.25">
      <c r="C28" s="38" t="s">
        <v>13</v>
      </c>
      <c r="D28" s="71"/>
      <c r="E28" s="72"/>
      <c r="F28" s="73"/>
      <c r="G28" s="71"/>
      <c r="H28" s="72"/>
      <c r="I28" s="73"/>
      <c r="J28" s="71"/>
      <c r="K28" s="72"/>
      <c r="L28" s="73"/>
      <c r="M28" s="71"/>
      <c r="N28" s="72"/>
      <c r="O28" s="73"/>
      <c r="P28" s="74"/>
      <c r="Q28" s="72"/>
      <c r="R28" s="75"/>
      <c r="S28" s="76"/>
    </row>
    <row r="29" spans="1:19" ht="6" customHeight="1" x14ac:dyDescent="0.2">
      <c r="C29" s="9"/>
      <c r="D29" s="12"/>
      <c r="E29" s="13"/>
      <c r="F29" s="51"/>
      <c r="G29" s="12"/>
      <c r="H29" s="13"/>
      <c r="I29" s="51"/>
      <c r="J29" s="12"/>
      <c r="K29" s="13"/>
      <c r="L29" s="51"/>
      <c r="M29" s="12"/>
      <c r="N29" s="13"/>
      <c r="O29" s="51"/>
      <c r="P29" s="48"/>
      <c r="Q29" s="13"/>
      <c r="R29" s="52"/>
      <c r="S29" s="50"/>
    </row>
    <row r="30" spans="1:19" ht="15.75" x14ac:dyDescent="0.25">
      <c r="C30" s="77" t="s">
        <v>1</v>
      </c>
      <c r="D30" s="12"/>
      <c r="E30" s="13"/>
      <c r="F30" s="51"/>
      <c r="G30" s="12"/>
      <c r="H30" s="13"/>
      <c r="I30" s="51"/>
      <c r="J30" s="12"/>
      <c r="K30" s="13"/>
      <c r="L30" s="51"/>
      <c r="M30" s="12"/>
      <c r="N30" s="13"/>
      <c r="O30" s="51"/>
      <c r="P30" s="48"/>
      <c r="Q30" s="13"/>
      <c r="R30" s="52"/>
      <c r="S30" s="50"/>
    </row>
    <row r="31" spans="1:19" ht="4.5" customHeight="1" x14ac:dyDescent="0.2">
      <c r="C31" s="9"/>
      <c r="D31" s="12"/>
      <c r="E31" s="13"/>
      <c r="F31" s="51"/>
      <c r="G31" s="12"/>
      <c r="H31" s="13"/>
      <c r="I31" s="51"/>
      <c r="J31" s="12"/>
      <c r="K31" s="13"/>
      <c r="L31" s="51"/>
      <c r="M31" s="12"/>
      <c r="N31" s="13"/>
      <c r="O31" s="51"/>
      <c r="P31" s="48"/>
      <c r="Q31" s="13"/>
      <c r="R31" s="52"/>
      <c r="S31" s="50"/>
    </row>
    <row r="32" spans="1:19" ht="15" x14ac:dyDescent="0.2">
      <c r="A32" s="5" t="s">
        <v>142</v>
      </c>
      <c r="C32" s="15" t="s">
        <v>143</v>
      </c>
      <c r="D32" s="12"/>
      <c r="E32" s="13">
        <f>VLOOKUP('Balance Sheet'!A32,'BS Xero'!A:D,2,0)</f>
        <v>265</v>
      </c>
      <c r="F32" s="47">
        <f t="shared" ref="F32" si="0">E32/E$26</f>
        <v>2.0171925703372215E-2</v>
      </c>
      <c r="G32" s="12"/>
      <c r="H32" s="13">
        <f>VLOOKUP('Balance Sheet'!A32,'BS Xero'!A:G,3,0)</f>
        <v>0</v>
      </c>
      <c r="I32" s="47">
        <f t="shared" ref="I32" si="1">H32/H$26</f>
        <v>0</v>
      </c>
      <c r="J32" s="12"/>
      <c r="K32" s="13">
        <f>VLOOKUP('Balance Sheet'!A32,'BS Xero'!A:G,4,0)</f>
        <v>0</v>
      </c>
      <c r="L32" s="47">
        <f t="shared" ref="L32" si="2">K32/K$26</f>
        <v>0</v>
      </c>
      <c r="M32" s="12"/>
      <c r="N32" s="13">
        <f>VLOOKUP('Balance Sheet'!A32,'BS Xero'!A:G,5,0)</f>
        <v>0</v>
      </c>
      <c r="O32" s="47" t="e">
        <f t="shared" ref="O32" si="3">N32/N$26</f>
        <v>#REF!</v>
      </c>
      <c r="P32" s="48"/>
      <c r="Q32" s="13">
        <f>VLOOKUP('Balance Sheet'!A32,'BS Xero'!A:G,6,0)</f>
        <v>0</v>
      </c>
      <c r="R32" s="49" t="e">
        <f t="shared" ref="R32" si="4">Q32/Q$26</f>
        <v>#REF!</v>
      </c>
      <c r="S32" s="50"/>
    </row>
    <row r="33" spans="1:19" ht="15" x14ac:dyDescent="0.2">
      <c r="A33" s="5" t="s">
        <v>80</v>
      </c>
      <c r="C33" s="15" t="s">
        <v>83</v>
      </c>
      <c r="D33" s="12"/>
      <c r="E33" s="13">
        <f>VLOOKUP('Balance Sheet'!A33,'BS Xero'!A:D,2,0)</f>
        <v>1580</v>
      </c>
      <c r="F33" s="47">
        <f t="shared" ref="F33:F36" si="5">E33/E$26</f>
        <v>0.1202703494767098</v>
      </c>
      <c r="G33" s="12"/>
      <c r="H33" s="13">
        <f>VLOOKUP('Balance Sheet'!A33,'BS Xero'!A:G,3,0)</f>
        <v>472</v>
      </c>
      <c r="I33" s="47">
        <f t="shared" ref="I33:I36" si="6">H33/H$26</f>
        <v>4.0496042198248712E-2</v>
      </c>
      <c r="J33" s="12"/>
      <c r="K33" s="13">
        <f>VLOOKUP('Balance Sheet'!A33,'BS Xero'!A:G,4,0)</f>
        <v>591</v>
      </c>
      <c r="L33" s="47">
        <f t="shared" ref="L33:L36" si="7">K33/K$26</f>
        <v>4.4103391483642576E-2</v>
      </c>
      <c r="M33" s="12"/>
      <c r="N33" s="13">
        <f>VLOOKUP('Balance Sheet'!A33,'BS Xero'!A:G,5,0)</f>
        <v>1533</v>
      </c>
      <c r="O33" s="47" t="e">
        <f t="shared" ref="O33:O36" si="8">N33/N$26</f>
        <v>#REF!</v>
      </c>
      <c r="P33" s="48"/>
      <c r="Q33" s="13">
        <f>VLOOKUP('Balance Sheet'!A33,'BS Xero'!A:G,6,0)</f>
        <v>1603</v>
      </c>
      <c r="R33" s="49" t="e">
        <f t="shared" ref="R33:R36" si="9">Q33/Q$26</f>
        <v>#REF!</v>
      </c>
      <c r="S33" s="50"/>
    </row>
    <row r="34" spans="1:19" ht="15" x14ac:dyDescent="0.2">
      <c r="A34" s="5" t="s">
        <v>107</v>
      </c>
      <c r="C34" s="15" t="s">
        <v>122</v>
      </c>
      <c r="D34" s="12"/>
      <c r="E34" s="13">
        <f>VLOOKUP('Balance Sheet'!A34,'BS Xero'!A:D,2,0)</f>
        <v>1808</v>
      </c>
      <c r="F34" s="47">
        <f t="shared" si="5"/>
        <v>0.13762581762904513</v>
      </c>
      <c r="G34" s="12"/>
      <c r="H34" s="13">
        <f>VLOOKUP('Balance Sheet'!A34,'BS Xero'!A:G,3,0)</f>
        <v>1878</v>
      </c>
      <c r="I34" s="47">
        <f t="shared" si="6"/>
        <v>0.16112620179726925</v>
      </c>
      <c r="J34" s="12"/>
      <c r="K34" s="13">
        <f>VLOOKUP('Balance Sheet'!A34,'BS Xero'!A:G,4,0)</f>
        <v>1878</v>
      </c>
      <c r="L34" s="47">
        <f t="shared" si="7"/>
        <v>0.14014580237949367</v>
      </c>
      <c r="M34" s="12"/>
      <c r="N34" s="13">
        <f>VLOOKUP('Balance Sheet'!A34,'BS Xero'!A:G,5,0)</f>
        <v>1878</v>
      </c>
      <c r="O34" s="47" t="e">
        <f t="shared" si="8"/>
        <v>#REF!</v>
      </c>
      <c r="P34" s="48"/>
      <c r="Q34" s="13">
        <f>VLOOKUP('Balance Sheet'!A34,'BS Xero'!A:G,6,0)</f>
        <v>2018</v>
      </c>
      <c r="R34" s="49" t="e">
        <f t="shared" si="9"/>
        <v>#REF!</v>
      </c>
      <c r="S34" s="50"/>
    </row>
    <row r="35" spans="1:19" ht="15" hidden="1" x14ac:dyDescent="0.2">
      <c r="C35" s="9" t="s">
        <v>11</v>
      </c>
      <c r="D35" s="12"/>
      <c r="E35" s="13"/>
      <c r="F35" s="47">
        <f t="shared" si="5"/>
        <v>0</v>
      </c>
      <c r="G35" s="12"/>
      <c r="H35" s="13"/>
      <c r="I35" s="47">
        <f t="shared" si="6"/>
        <v>0</v>
      </c>
      <c r="J35" s="12"/>
      <c r="K35" s="13"/>
      <c r="L35" s="47">
        <f t="shared" si="7"/>
        <v>0</v>
      </c>
      <c r="M35" s="12"/>
      <c r="N35" s="13"/>
      <c r="O35" s="47" t="e">
        <f t="shared" si="8"/>
        <v>#REF!</v>
      </c>
      <c r="P35" s="48"/>
      <c r="Q35" s="13"/>
      <c r="R35" s="49" t="e">
        <f t="shared" si="9"/>
        <v>#REF!</v>
      </c>
      <c r="S35" s="50"/>
    </row>
    <row r="36" spans="1:19" s="37" customFormat="1" ht="21" customHeight="1" x14ac:dyDescent="0.25">
      <c r="C36" s="77" t="s">
        <v>14</v>
      </c>
      <c r="D36" s="53"/>
      <c r="E36" s="54">
        <f>SUM(E32:E35)</f>
        <v>3653</v>
      </c>
      <c r="F36" s="47">
        <f t="shared" si="5"/>
        <v>0.27806809280912714</v>
      </c>
      <c r="G36" s="53"/>
      <c r="H36" s="54">
        <f>SUM(H32:H35)</f>
        <v>2350</v>
      </c>
      <c r="I36" s="47">
        <f t="shared" si="6"/>
        <v>0.20162224399551795</v>
      </c>
      <c r="J36" s="53"/>
      <c r="K36" s="54">
        <f>SUM(K32:K35)</f>
        <v>2469</v>
      </c>
      <c r="L36" s="47">
        <f t="shared" si="7"/>
        <v>0.18424919386313623</v>
      </c>
      <c r="M36" s="53"/>
      <c r="N36" s="54">
        <f>SUM(N33:N35)</f>
        <v>3411</v>
      </c>
      <c r="O36" s="47" t="e">
        <f t="shared" si="8"/>
        <v>#REF!</v>
      </c>
      <c r="P36" s="55"/>
      <c r="Q36" s="54">
        <f>SUM(Q33:Q35)</f>
        <v>3621</v>
      </c>
      <c r="R36" s="49" t="e">
        <f t="shared" si="9"/>
        <v>#REF!</v>
      </c>
      <c r="S36" s="56"/>
    </row>
    <row r="37" spans="1:19" ht="15" x14ac:dyDescent="0.2">
      <c r="C37" s="9"/>
      <c r="D37" s="12"/>
      <c r="E37" s="13"/>
      <c r="F37" s="51"/>
      <c r="G37" s="12"/>
      <c r="H37" s="13"/>
      <c r="I37" s="51"/>
      <c r="J37" s="12"/>
      <c r="K37" s="13"/>
      <c r="L37" s="51"/>
      <c r="M37" s="12"/>
      <c r="N37" s="13"/>
      <c r="O37" s="51"/>
      <c r="P37" s="48"/>
      <c r="Q37" s="13"/>
      <c r="R37" s="52"/>
      <c r="S37" s="50"/>
    </row>
    <row r="38" spans="1:19" ht="15.75" x14ac:dyDescent="0.25">
      <c r="C38" s="77" t="s">
        <v>27</v>
      </c>
      <c r="D38" s="12"/>
      <c r="E38" s="13"/>
      <c r="F38" s="51"/>
      <c r="G38" s="12"/>
      <c r="H38" s="13"/>
      <c r="I38" s="51"/>
      <c r="J38" s="12"/>
      <c r="K38" s="13"/>
      <c r="L38" s="51"/>
      <c r="M38" s="12"/>
      <c r="N38" s="13"/>
      <c r="O38" s="51"/>
      <c r="P38" s="48"/>
      <c r="Q38" s="13"/>
      <c r="R38" s="52"/>
      <c r="S38" s="50"/>
    </row>
    <row r="39" spans="1:19" ht="6" customHeight="1" x14ac:dyDescent="0.2">
      <c r="C39" s="9"/>
      <c r="D39" s="12"/>
      <c r="E39" s="13"/>
      <c r="F39" s="51"/>
      <c r="G39" s="12"/>
      <c r="H39" s="13"/>
      <c r="I39" s="51"/>
      <c r="J39" s="12"/>
      <c r="K39" s="13"/>
      <c r="L39" s="51"/>
      <c r="M39" s="12"/>
      <c r="N39" s="13"/>
      <c r="O39" s="51"/>
      <c r="P39" s="48"/>
      <c r="Q39" s="13"/>
      <c r="R39" s="52"/>
      <c r="S39" s="50"/>
    </row>
    <row r="40" spans="1:19" ht="15" x14ac:dyDescent="0.2">
      <c r="A40" s="5" t="s">
        <v>111</v>
      </c>
      <c r="C40" s="15" t="s">
        <v>3</v>
      </c>
      <c r="D40" s="12"/>
      <c r="E40" s="13">
        <f>VLOOKUP('Balance Sheet'!A40,'BS Xero'!A:D,2,0)</f>
        <v>25000</v>
      </c>
      <c r="F40" s="47">
        <f>E40/E$26</f>
        <v>1.9030118588086995</v>
      </c>
      <c r="G40" s="12"/>
      <c r="H40" s="13">
        <f>VLOOKUP('Balance Sheet'!A40,'BS Xero'!A:G,3,0)</f>
        <v>25000</v>
      </c>
      <c r="I40" s="47">
        <f>H40/H$26</f>
        <v>2.1449174893140208</v>
      </c>
      <c r="J40" s="12"/>
      <c r="K40" s="13">
        <f>VLOOKUP('Balance Sheet'!A40,'BS Xero'!A:G,4,0)</f>
        <v>25000</v>
      </c>
      <c r="L40" s="47">
        <f>K40/K$26</f>
        <v>1.8656256972776046</v>
      </c>
      <c r="M40" s="12"/>
      <c r="N40" s="13">
        <f>VLOOKUP('Balance Sheet'!A40,'BS Xero'!A:G,5,0)</f>
        <v>25000</v>
      </c>
      <c r="O40" s="47" t="e">
        <f>N40/N$26</f>
        <v>#REF!</v>
      </c>
      <c r="P40" s="48"/>
      <c r="Q40" s="13">
        <f>VLOOKUP('Balance Sheet'!A40,'BS Xero'!A:G,6,0)</f>
        <v>25000</v>
      </c>
      <c r="R40" s="49" t="e">
        <f>Q40/Q$26</f>
        <v>#REF!</v>
      </c>
      <c r="S40" s="50"/>
    </row>
    <row r="41" spans="1:19" ht="5.25" customHeight="1" x14ac:dyDescent="0.2">
      <c r="C41" s="15"/>
      <c r="D41" s="12"/>
      <c r="E41" s="13"/>
      <c r="F41" s="51"/>
      <c r="G41" s="12"/>
      <c r="H41" s="13"/>
      <c r="I41" s="51"/>
      <c r="J41" s="12"/>
      <c r="K41" s="13"/>
      <c r="L41" s="51"/>
      <c r="M41" s="12"/>
      <c r="N41" s="13"/>
      <c r="O41" s="51"/>
      <c r="P41" s="48"/>
      <c r="Q41" s="13"/>
      <c r="R41" s="52"/>
      <c r="S41" s="50"/>
    </row>
    <row r="42" spans="1:19" ht="15" x14ac:dyDescent="0.2">
      <c r="C42" s="15" t="s">
        <v>15</v>
      </c>
      <c r="D42" s="12"/>
      <c r="E42" s="13"/>
      <c r="F42" s="51"/>
      <c r="G42" s="12"/>
      <c r="H42" s="13"/>
      <c r="I42" s="51"/>
      <c r="J42" s="12"/>
      <c r="K42" s="13"/>
      <c r="L42" s="51"/>
      <c r="M42" s="12"/>
      <c r="N42" s="13"/>
      <c r="O42" s="51"/>
      <c r="P42" s="48"/>
      <c r="Q42" s="13"/>
      <c r="R42" s="52"/>
      <c r="S42" s="50"/>
    </row>
    <row r="43" spans="1:19" ht="15" x14ac:dyDescent="0.2">
      <c r="A43" s="5" t="s">
        <v>108</v>
      </c>
      <c r="C43" s="11" t="s">
        <v>155</v>
      </c>
      <c r="D43" s="12"/>
      <c r="E43" s="58">
        <f>VLOOKUP('Balance Sheet'!A43,'BS Xero'!A:D,2,0)</f>
        <v>400</v>
      </c>
      <c r="F43" s="78">
        <f t="shared" ref="F43:F46" si="10">E43/E$26</f>
        <v>3.0448189740939189E-2</v>
      </c>
      <c r="G43" s="12"/>
      <c r="H43" s="58">
        <f>VLOOKUP('Balance Sheet'!A43,'BS Xero'!A:G,3,0)</f>
        <v>400</v>
      </c>
      <c r="I43" s="78">
        <f t="shared" ref="I43:I46" si="11">H43/H$26</f>
        <v>3.4318679829024333E-2</v>
      </c>
      <c r="J43" s="12"/>
      <c r="K43" s="58">
        <f>VLOOKUP('Balance Sheet'!A43,'BS Xero'!A:G,4,0)</f>
        <v>400</v>
      </c>
      <c r="L43" s="78">
        <f t="shared" ref="L43:L46" si="12">K43/K$26</f>
        <v>2.9850011156441675E-2</v>
      </c>
      <c r="M43" s="12"/>
      <c r="N43" s="58">
        <f>VLOOKUP('Balance Sheet'!A43,'BS Xero'!A:G,5,0)</f>
        <v>400</v>
      </c>
      <c r="O43" s="78" t="e">
        <f t="shared" ref="O43:O46" si="13">N43/N$26</f>
        <v>#REF!</v>
      </c>
      <c r="P43" s="79"/>
      <c r="Q43" s="58">
        <f>VLOOKUP('Balance Sheet'!A43,'BS Xero'!A:G,6,0)</f>
        <v>400</v>
      </c>
      <c r="R43" s="49" t="e">
        <f t="shared" ref="R43:R46" si="14">Q43/Q$26</f>
        <v>#REF!</v>
      </c>
      <c r="S43" s="50"/>
    </row>
    <row r="44" spans="1:19" ht="15" x14ac:dyDescent="0.2">
      <c r="A44" s="5" t="s">
        <v>109</v>
      </c>
      <c r="C44" s="11" t="s">
        <v>156</v>
      </c>
      <c r="D44" s="12"/>
      <c r="E44" s="58">
        <f>VLOOKUP('Balance Sheet'!A44,'BS Xero'!A:D,2,0)</f>
        <v>-3497.56</v>
      </c>
      <c r="F44" s="78">
        <f t="shared" ref="F44" si="15">E44/E$26</f>
        <v>-0.26623592627579817</v>
      </c>
      <c r="G44" s="12"/>
      <c r="H44" s="58">
        <f>VLOOKUP('Balance Sheet'!A44,'BS Xero'!A:G,3,0)</f>
        <v>-3497.56</v>
      </c>
      <c r="I44" s="78">
        <f t="shared" ref="I44" si="16">H44/H$26</f>
        <v>-0.30007910455700587</v>
      </c>
      <c r="J44" s="12"/>
      <c r="K44" s="58">
        <f>VLOOKUP('Balance Sheet'!A44,'BS Xero'!A:G,4,0)</f>
        <v>-3497.56</v>
      </c>
      <c r="L44" s="78">
        <f t="shared" ref="L44" si="17">K44/K$26</f>
        <v>-0.26100551255081034</v>
      </c>
      <c r="M44" s="12"/>
      <c r="N44" s="58">
        <f>VLOOKUP('Balance Sheet'!A44,'BS Xero'!A:G,5,0)</f>
        <v>-5103.67</v>
      </c>
      <c r="O44" s="78" t="e">
        <f t="shared" ref="O44" si="18">N44/N$26</f>
        <v>#REF!</v>
      </c>
      <c r="P44" s="79"/>
      <c r="Q44" s="58">
        <f>VLOOKUP('Balance Sheet'!A44,'BS Xero'!A:G,6,0)</f>
        <v>-2903.67</v>
      </c>
      <c r="R44" s="49" t="e">
        <f t="shared" ref="R44" si="19">Q44/Q$26</f>
        <v>#REF!</v>
      </c>
      <c r="S44" s="50"/>
    </row>
    <row r="45" spans="1:19" ht="15" x14ac:dyDescent="0.2">
      <c r="A45" s="5" t="s">
        <v>110</v>
      </c>
      <c r="C45" s="11" t="s">
        <v>157</v>
      </c>
      <c r="D45" s="12"/>
      <c r="E45" s="58">
        <f>VLOOKUP('Balance Sheet'!A45,'BS Xero'!A:D,2,0)</f>
        <v>-240</v>
      </c>
      <c r="F45" s="78">
        <f t="shared" si="10"/>
        <v>-1.8268913844563514E-2</v>
      </c>
      <c r="G45" s="12"/>
      <c r="H45" s="58">
        <f>VLOOKUP('Balance Sheet'!A45,'BS Xero'!A:G,3,0)</f>
        <v>-240</v>
      </c>
      <c r="I45" s="78">
        <f t="shared" si="11"/>
        <v>-2.0591207897414601E-2</v>
      </c>
      <c r="J45" s="12"/>
      <c r="K45" s="58">
        <f>VLOOKUP('Balance Sheet'!A45,'BS Xero'!A:G,4,0)</f>
        <v>-240</v>
      </c>
      <c r="L45" s="78">
        <f t="shared" si="12"/>
        <v>-1.7910006693865003E-2</v>
      </c>
      <c r="M45" s="12"/>
      <c r="N45" s="58">
        <f>VLOOKUP('Balance Sheet'!A45,'BS Xero'!A:G,5,0)</f>
        <v>-240</v>
      </c>
      <c r="O45" s="78" t="e">
        <f t="shared" si="13"/>
        <v>#REF!</v>
      </c>
      <c r="P45" s="79"/>
      <c r="Q45" s="58">
        <f>VLOOKUP('Balance Sheet'!A45,'BS Xero'!A:G,6,0)</f>
        <v>-740</v>
      </c>
      <c r="R45" s="49" t="e">
        <f t="shared" si="14"/>
        <v>#REF!</v>
      </c>
      <c r="S45" s="50"/>
    </row>
    <row r="46" spans="1:19" ht="15" x14ac:dyDescent="0.2">
      <c r="C46" s="15" t="s">
        <v>16</v>
      </c>
      <c r="D46" s="12"/>
      <c r="E46" s="16">
        <f>SUM(E43:E45)</f>
        <v>-3337.56</v>
      </c>
      <c r="F46" s="47">
        <f t="shared" si="10"/>
        <v>-0.25405665037942249</v>
      </c>
      <c r="G46" s="12"/>
      <c r="H46" s="16">
        <f>SUM(H43:H45)</f>
        <v>-3337.56</v>
      </c>
      <c r="I46" s="47">
        <f t="shared" si="11"/>
        <v>-0.28635163262539615</v>
      </c>
      <c r="J46" s="12"/>
      <c r="K46" s="16">
        <f>SUM(K43:K45)</f>
        <v>-3337.56</v>
      </c>
      <c r="L46" s="47">
        <f t="shared" si="12"/>
        <v>-0.24906550808823369</v>
      </c>
      <c r="M46" s="12"/>
      <c r="N46" s="16">
        <f>SUM(N43:N45)</f>
        <v>-4943.67</v>
      </c>
      <c r="O46" s="47" t="e">
        <f t="shared" si="13"/>
        <v>#REF!</v>
      </c>
      <c r="P46" s="48"/>
      <c r="Q46" s="16">
        <f>SUM(Q43:Q45)</f>
        <v>-3243.67</v>
      </c>
      <c r="R46" s="49" t="e">
        <f t="shared" si="14"/>
        <v>#REF!</v>
      </c>
      <c r="S46" s="50"/>
    </row>
    <row r="47" spans="1:19" ht="6" customHeight="1" x14ac:dyDescent="0.2">
      <c r="C47" s="15"/>
      <c r="D47" s="12"/>
      <c r="E47" s="13"/>
      <c r="F47" s="51"/>
      <c r="G47" s="12"/>
      <c r="H47" s="13"/>
      <c r="I47" s="51"/>
      <c r="J47" s="12"/>
      <c r="K47" s="13"/>
      <c r="L47" s="51"/>
      <c r="M47" s="12"/>
      <c r="N47" s="13"/>
      <c r="O47" s="51"/>
      <c r="P47" s="48"/>
      <c r="Q47" s="13"/>
      <c r="R47" s="52"/>
      <c r="S47" s="50"/>
    </row>
    <row r="48" spans="1:19" ht="15" x14ac:dyDescent="0.2">
      <c r="A48" s="5" t="s">
        <v>112</v>
      </c>
      <c r="C48" s="15" t="s">
        <v>17</v>
      </c>
      <c r="D48" s="12"/>
      <c r="E48" s="13">
        <f>VLOOKUP('Balance Sheet'!A48,'BS Xero'!A:D,2,0)</f>
        <v>-13050.65</v>
      </c>
      <c r="F48" s="47">
        <f t="shared" ref="F48:F50" si="20">E48/E$26</f>
        <v>-0.99342166860647008</v>
      </c>
      <c r="G48" s="12"/>
      <c r="H48" s="13">
        <f>VLOOKUP('Balance Sheet'!A48,'BS Xero'!A:G,3,0)</f>
        <v>-13050.65</v>
      </c>
      <c r="I48" s="47">
        <f t="shared" ref="I48:I50" si="21">H48/H$26</f>
        <v>-1.1197026972766411</v>
      </c>
      <c r="J48" s="12"/>
      <c r="K48" s="13">
        <f>VLOOKUP('Balance Sheet'!A48,'BS Xero'!A:G,4,0)</f>
        <v>-13050.65</v>
      </c>
      <c r="L48" s="47">
        <f t="shared" ref="L48:L50" si="22">K48/K$26</f>
        <v>-0.97390512024703879</v>
      </c>
      <c r="M48" s="12"/>
      <c r="N48" s="13">
        <f>VLOOKUP('Balance Sheet'!A48,'BS Xero'!A:G,5,0)</f>
        <v>-13050.65</v>
      </c>
      <c r="O48" s="47" t="e">
        <f t="shared" ref="O48:O50" si="23">N48/N$26</f>
        <v>#REF!</v>
      </c>
      <c r="P48" s="48"/>
      <c r="Q48" s="13">
        <f>VLOOKUP('Balance Sheet'!A48,'BS Xero'!A:G,6,0)</f>
        <v>-13050.65</v>
      </c>
      <c r="R48" s="49" t="e">
        <f t="shared" ref="R48:R50" si="24">Q48/Q$26</f>
        <v>#REF!</v>
      </c>
      <c r="S48" s="50"/>
    </row>
    <row r="49" spans="1:19" ht="15" x14ac:dyDescent="0.2">
      <c r="A49" s="5" t="s">
        <v>46</v>
      </c>
      <c r="C49" s="15" t="s">
        <v>18</v>
      </c>
      <c r="D49" s="12"/>
      <c r="E49" s="13">
        <f>VLOOKUP('Balance Sheet'!A49,'BS Xero'!A:D,2,0)</f>
        <v>872.28</v>
      </c>
      <c r="F49" s="47">
        <f t="shared" si="20"/>
        <v>6.6398367368066091E-2</v>
      </c>
      <c r="G49" s="12"/>
      <c r="H49" s="13">
        <f>VLOOKUP('Balance Sheet'!A49,'BS Xero'!A:G,3,0)</f>
        <v>693.67</v>
      </c>
      <c r="I49" s="47">
        <f t="shared" si="21"/>
        <v>5.9514596592498269E-2</v>
      </c>
      <c r="J49" s="12"/>
      <c r="K49" s="13">
        <f>VLOOKUP('Balance Sheet'!A49,'BS Xero'!A:G,4,0)</f>
        <v>2319.54</v>
      </c>
      <c r="L49" s="47">
        <f t="shared" si="22"/>
        <v>0.17309573719453181</v>
      </c>
      <c r="M49" s="12"/>
      <c r="N49" s="13">
        <f>VLOOKUP('Balance Sheet'!A49,'BS Xero'!A:G,5,0)</f>
        <v>1447.37</v>
      </c>
      <c r="O49" s="47" t="e">
        <f t="shared" si="23"/>
        <v>#REF!</v>
      </c>
      <c r="P49" s="48"/>
      <c r="Q49" s="13">
        <f>VLOOKUP('Balance Sheet'!A49,'BS Xero'!A:G,6,0)</f>
        <v>1659.37</v>
      </c>
      <c r="R49" s="49" t="e">
        <f t="shared" si="24"/>
        <v>#REF!</v>
      </c>
      <c r="S49" s="50"/>
    </row>
    <row r="50" spans="1:19" s="37" customFormat="1" ht="21" customHeight="1" x14ac:dyDescent="0.25">
      <c r="C50" s="77" t="s">
        <v>26</v>
      </c>
      <c r="D50" s="53"/>
      <c r="E50" s="54">
        <f>+E40+E46+E48+E49</f>
        <v>9484.07</v>
      </c>
      <c r="F50" s="47">
        <f t="shared" si="20"/>
        <v>0.72193190719087286</v>
      </c>
      <c r="G50" s="53"/>
      <c r="H50" s="54">
        <f>+H40+H46+H48+H49</f>
        <v>9305.4599999999991</v>
      </c>
      <c r="I50" s="47">
        <f t="shared" si="21"/>
        <v>0.79837775600448191</v>
      </c>
      <c r="J50" s="53"/>
      <c r="K50" s="54">
        <f>+K40+K46+K48+K49</f>
        <v>10931.329999999998</v>
      </c>
      <c r="L50" s="47">
        <f t="shared" si="22"/>
        <v>0.81575080613686379</v>
      </c>
      <c r="M50" s="53"/>
      <c r="N50" s="54">
        <f>+N40+N46+N48+N49</f>
        <v>8453.0500000000029</v>
      </c>
      <c r="O50" s="47" t="e">
        <f t="shared" si="23"/>
        <v>#REF!</v>
      </c>
      <c r="P50" s="55"/>
      <c r="Q50" s="54">
        <f>+Q40+Q46+Q48+Q49</f>
        <v>10365.050000000003</v>
      </c>
      <c r="R50" s="49" t="e">
        <f t="shared" si="24"/>
        <v>#REF!</v>
      </c>
      <c r="S50" s="56"/>
    </row>
    <row r="51" spans="1:19" ht="15" x14ac:dyDescent="0.2">
      <c r="C51" s="9"/>
      <c r="D51" s="12"/>
      <c r="E51" s="13"/>
      <c r="F51" s="51"/>
      <c r="G51" s="12"/>
      <c r="H51" s="13"/>
      <c r="I51" s="51"/>
      <c r="J51" s="12"/>
      <c r="K51" s="13"/>
      <c r="L51" s="51"/>
      <c r="M51" s="12"/>
      <c r="N51" s="13"/>
      <c r="O51" s="51"/>
      <c r="P51" s="48"/>
      <c r="Q51" s="13"/>
      <c r="R51" s="52"/>
      <c r="S51" s="50"/>
    </row>
    <row r="52" spans="1:19" s="37" customFormat="1" ht="24" customHeight="1" thickBot="1" x14ac:dyDescent="0.3">
      <c r="C52" s="77" t="s">
        <v>29</v>
      </c>
      <c r="D52" s="53"/>
      <c r="E52" s="61">
        <f>+E50+E36</f>
        <v>13137.07</v>
      </c>
      <c r="F52" s="47">
        <f>E52/E$26</f>
        <v>1</v>
      </c>
      <c r="G52" s="53"/>
      <c r="H52" s="61">
        <f>+H50+H36</f>
        <v>11655.46</v>
      </c>
      <c r="I52" s="47">
        <f>H52/H$26</f>
        <v>0.99999999999999989</v>
      </c>
      <c r="J52" s="53"/>
      <c r="K52" s="61">
        <f>+K50+K36</f>
        <v>13400.329999999998</v>
      </c>
      <c r="L52" s="47">
        <f>K52/K$26</f>
        <v>1</v>
      </c>
      <c r="M52" s="53"/>
      <c r="N52" s="61">
        <f>+N50+N36</f>
        <v>11864.050000000003</v>
      </c>
      <c r="O52" s="47" t="e">
        <f>N52/N$26</f>
        <v>#REF!</v>
      </c>
      <c r="P52" s="55"/>
      <c r="Q52" s="61">
        <f>+Q50+Q36</f>
        <v>13986.050000000003</v>
      </c>
      <c r="R52" s="49" t="e">
        <f>Q52/Q$26</f>
        <v>#REF!</v>
      </c>
      <c r="S52" s="56"/>
    </row>
    <row r="53" spans="1:19" ht="16.5" thickTop="1" thickBot="1" x14ac:dyDescent="0.25">
      <c r="C53" s="80"/>
      <c r="D53" s="81"/>
      <c r="E53" s="82"/>
      <c r="F53" s="83"/>
      <c r="G53" s="81"/>
      <c r="H53" s="82"/>
      <c r="I53" s="83"/>
      <c r="J53" s="81"/>
      <c r="K53" s="82"/>
      <c r="L53" s="83"/>
      <c r="M53" s="81"/>
      <c r="N53" s="82"/>
      <c r="O53" s="83"/>
      <c r="P53" s="84"/>
      <c r="Q53" s="82"/>
      <c r="R53" s="85"/>
      <c r="S53" s="86"/>
    </row>
    <row r="54" spans="1:19" ht="15.75" thickTop="1" x14ac:dyDescent="0.25">
      <c r="C54" s="87" t="s">
        <v>30</v>
      </c>
      <c r="D54" s="70"/>
      <c r="E54" s="148">
        <f>+E26-E52</f>
        <v>0</v>
      </c>
      <c r="F54" s="69"/>
      <c r="G54" s="70"/>
      <c r="H54" s="148">
        <f>+H26-H52</f>
        <v>0</v>
      </c>
      <c r="I54" s="69"/>
      <c r="J54" s="70"/>
      <c r="K54" s="148">
        <f>+K26-K52</f>
        <v>0</v>
      </c>
      <c r="L54" s="69"/>
      <c r="M54" s="70"/>
      <c r="N54" s="148" t="e">
        <f>+N26-N52</f>
        <v>#REF!</v>
      </c>
      <c r="O54" s="69"/>
      <c r="P54" s="70"/>
      <c r="Q54" s="148" t="e">
        <f>+Q26-Q52</f>
        <v>#REF!</v>
      </c>
      <c r="R54" s="70"/>
      <c r="S54" s="70"/>
    </row>
  </sheetData>
  <mergeCells count="8">
    <mergeCell ref="C1:I1"/>
    <mergeCell ref="C2:I2"/>
    <mergeCell ref="C3:I3"/>
    <mergeCell ref="M6:O6"/>
    <mergeCell ref="P6:R6"/>
    <mergeCell ref="C4:F4"/>
    <mergeCell ref="G6:I6"/>
    <mergeCell ref="J6:L6"/>
  </mergeCells>
  <printOptions horizontalCentered="1"/>
  <pageMargins left="0.45" right="0.45" top="0.75" bottom="0.75" header="0.3" footer="0.3"/>
  <pageSetup paperSize="9" scale="77" orientation="portrait" r:id="rId1"/>
  <headerFooter>
    <oddFooter xml:space="preserve">&amp;L           &amp;A          &amp;D&amp;Cby &amp;"-,Bold"&amp;12&amp;K003366Partner&amp;"-,Regular"&amp;11&amp;K0070C0plus&amp;"-,Bold"&amp;12&amp;X&amp;K00FF00+&amp;RPage &amp;P of &amp;N        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41"/>
  <sheetViews>
    <sheetView tabSelected="1" view="pageBreakPreview" topLeftCell="B18" zoomScale="85" zoomScaleNormal="100" zoomScaleSheetLayoutView="85" workbookViewId="0">
      <selection activeCell="P33" sqref="P33"/>
    </sheetView>
  </sheetViews>
  <sheetFormatPr defaultRowHeight="14.25" x14ac:dyDescent="0.2"/>
  <cols>
    <col min="1" max="1" width="5.42578125" style="17" hidden="1" customWidth="1"/>
    <col min="2" max="2" width="2.85546875" style="17" customWidth="1"/>
    <col min="3" max="3" width="39.85546875" style="17" customWidth="1"/>
    <col min="4" max="4" width="1.5703125" style="17" customWidth="1"/>
    <col min="5" max="5" width="11.42578125" style="97" customWidth="1"/>
    <col min="6" max="6" width="9.140625" style="93" customWidth="1"/>
    <col min="7" max="7" width="2.42578125" style="17" customWidth="1"/>
    <col min="8" max="8" width="1.5703125" style="17" customWidth="1"/>
    <col min="9" max="9" width="11.42578125" style="97" customWidth="1"/>
    <col min="10" max="10" width="9.140625" style="93" customWidth="1"/>
    <col min="11" max="11" width="2.42578125" style="17" customWidth="1"/>
    <col min="12" max="12" width="1.5703125" style="17" customWidth="1"/>
    <col min="13" max="13" width="11.42578125" style="97" customWidth="1"/>
    <col min="14" max="14" width="9.140625" style="93" customWidth="1"/>
    <col min="15" max="15" width="2.42578125" style="17" customWidth="1"/>
    <col min="16" max="16" width="1.5703125" style="17" hidden="1" customWidth="1"/>
    <col min="17" max="17" width="15.7109375" style="97" hidden="1" customWidth="1"/>
    <col min="18" max="18" width="9.140625" style="93" hidden="1" customWidth="1"/>
    <col min="19" max="19" width="2.42578125" style="17" hidden="1" customWidth="1"/>
    <col min="20" max="20" width="2.42578125" style="153" customWidth="1"/>
    <col min="21" max="21" width="2.42578125" style="17" hidden="1" customWidth="1"/>
    <col min="22" max="22" width="13.42578125" style="97" hidden="1" customWidth="1"/>
    <col min="23" max="23" width="9.140625" style="17" hidden="1" customWidth="1"/>
    <col min="24" max="24" width="2.42578125" style="17" hidden="1" customWidth="1"/>
    <col min="25" max="25" width="2.42578125" style="17" customWidth="1"/>
    <col min="26" max="26" width="11.42578125" style="97" customWidth="1"/>
    <col min="27" max="27" width="9.85546875" style="17" customWidth="1"/>
    <col min="28" max="28" width="0.7109375" style="17" customWidth="1"/>
    <col min="29" max="29" width="9.140625" style="17"/>
    <col min="30" max="30" width="33.28515625" style="17" bestFit="1" customWidth="1"/>
    <col min="31" max="16384" width="9.140625" style="17"/>
  </cols>
  <sheetData>
    <row r="1" spans="1:30" ht="26.25" customHeight="1" x14ac:dyDescent="0.25">
      <c r="C1" s="206" t="str">
        <f>'Balance Sheet'!C1:F1</f>
        <v>ABC COMPANY</v>
      </c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150"/>
      <c r="W1" s="150"/>
      <c r="X1" s="150"/>
      <c r="Y1" s="137"/>
      <c r="Z1" s="204"/>
      <c r="AA1" s="204"/>
      <c r="AB1" s="25"/>
    </row>
    <row r="2" spans="1:30" ht="18.75" customHeight="1" x14ac:dyDescent="0.25">
      <c r="C2" s="206" t="s">
        <v>20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140"/>
      <c r="W2" s="150"/>
      <c r="X2" s="150"/>
      <c r="Y2" s="137"/>
      <c r="Z2" s="204"/>
      <c r="AA2" s="204"/>
      <c r="AB2" s="25"/>
    </row>
    <row r="3" spans="1:30" ht="15" customHeight="1" x14ac:dyDescent="0.25">
      <c r="C3" s="214">
        <f>'Balance Sheet'!C3:F3</f>
        <v>42916</v>
      </c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142"/>
      <c r="W3" s="150"/>
      <c r="X3" s="150"/>
      <c r="Y3" s="139"/>
      <c r="Z3" s="204"/>
      <c r="AA3" s="204"/>
      <c r="AB3" s="205"/>
    </row>
    <row r="4" spans="1:30" ht="23.25" x14ac:dyDescent="0.2">
      <c r="C4" s="96"/>
      <c r="V4" s="150"/>
      <c r="W4" s="150"/>
      <c r="X4" s="150"/>
      <c r="Z4" s="150"/>
      <c r="AA4" s="150"/>
      <c r="AB4" s="150"/>
    </row>
    <row r="5" spans="1:30" ht="21" customHeight="1" thickBot="1" x14ac:dyDescent="0.25">
      <c r="AD5" s="177"/>
    </row>
    <row r="6" spans="1:30" s="98" customFormat="1" ht="31.5" customHeight="1" thickTop="1" thickBot="1" x14ac:dyDescent="0.25">
      <c r="C6" s="96" t="s">
        <v>19</v>
      </c>
      <c r="D6" s="99"/>
      <c r="E6" s="213">
        <f>C3</f>
        <v>42916</v>
      </c>
      <c r="F6" s="213"/>
      <c r="G6" s="100"/>
      <c r="H6" s="99"/>
      <c r="I6" s="213">
        <f>E6-31</f>
        <v>42885</v>
      </c>
      <c r="J6" s="213"/>
      <c r="K6" s="100"/>
      <c r="L6" s="99"/>
      <c r="M6" s="213">
        <f>I6-30</f>
        <v>42855</v>
      </c>
      <c r="N6" s="213"/>
      <c r="O6" s="100"/>
      <c r="P6" s="99"/>
      <c r="Q6" s="213">
        <v>42766</v>
      </c>
      <c r="R6" s="213"/>
      <c r="S6" s="100"/>
      <c r="T6" s="154"/>
      <c r="U6" s="99"/>
      <c r="V6" s="212" t="s">
        <v>63</v>
      </c>
      <c r="W6" s="212"/>
      <c r="X6" s="100"/>
      <c r="Y6" s="99"/>
      <c r="Z6" s="212" t="s">
        <v>137</v>
      </c>
      <c r="AA6" s="212"/>
      <c r="AB6" s="100"/>
      <c r="AD6" s="176"/>
    </row>
    <row r="7" spans="1:30" s="101" customFormat="1" ht="15" customHeight="1" thickTop="1" x14ac:dyDescent="0.2">
      <c r="C7" s="102"/>
      <c r="D7" s="103"/>
      <c r="E7" s="104" t="s">
        <v>5</v>
      </c>
      <c r="F7" s="105" t="s">
        <v>33</v>
      </c>
      <c r="G7" s="106"/>
      <c r="H7" s="103"/>
      <c r="I7" s="104" t="s">
        <v>5</v>
      </c>
      <c r="J7" s="105" t="s">
        <v>33</v>
      </c>
      <c r="K7" s="106"/>
      <c r="L7" s="103"/>
      <c r="M7" s="104" t="s">
        <v>5</v>
      </c>
      <c r="N7" s="105" t="s">
        <v>33</v>
      </c>
      <c r="O7" s="106"/>
      <c r="P7" s="103"/>
      <c r="Q7" s="104" t="s">
        <v>5</v>
      </c>
      <c r="R7" s="105" t="s">
        <v>33</v>
      </c>
      <c r="S7" s="106"/>
      <c r="T7" s="155"/>
      <c r="U7" s="103"/>
      <c r="V7" s="104" t="s">
        <v>5</v>
      </c>
      <c r="W7" s="105" t="s">
        <v>33</v>
      </c>
      <c r="X7" s="107"/>
      <c r="Y7" s="103"/>
      <c r="Z7" s="104" t="s">
        <v>5</v>
      </c>
      <c r="AA7" s="105" t="s">
        <v>33</v>
      </c>
      <c r="AB7" s="107"/>
    </row>
    <row r="8" spans="1:30" ht="21.75" customHeight="1" x14ac:dyDescent="0.25">
      <c r="A8" s="5" t="s">
        <v>93</v>
      </c>
      <c r="C8" s="132" t="s">
        <v>21</v>
      </c>
      <c r="D8" s="108"/>
      <c r="E8" s="109">
        <f>VLOOKUP(A8,'IS Xero'!A:C,2,0)</f>
        <v>2925</v>
      </c>
      <c r="F8" s="110">
        <f>E8/E$8</f>
        <v>1</v>
      </c>
      <c r="G8" s="111"/>
      <c r="H8" s="108"/>
      <c r="I8" s="109">
        <f>VLOOKUP(A8,'IS Xero'!A:C,3,0)</f>
        <v>2872.75</v>
      </c>
      <c r="J8" s="110">
        <f>I8/I$8</f>
        <v>1</v>
      </c>
      <c r="K8" s="111"/>
      <c r="L8" s="108"/>
      <c r="M8" s="109">
        <f>VLOOKUP(A8,'IS Xero'!A:F,4,0)</f>
        <v>3040.75</v>
      </c>
      <c r="N8" s="110">
        <f>M8/M$8</f>
        <v>1</v>
      </c>
      <c r="O8" s="111"/>
      <c r="P8" s="108"/>
      <c r="Q8" s="109">
        <f>VLOOKUP(A8,'IS Xero'!A:I,5,0)</f>
        <v>2635</v>
      </c>
      <c r="R8" s="110">
        <f>Q8/Q$8</f>
        <v>1</v>
      </c>
      <c r="S8" s="111"/>
      <c r="T8" s="156"/>
      <c r="U8" s="108"/>
      <c r="V8" s="109">
        <f>+Z8-E8</f>
        <v>14314.150000000001</v>
      </c>
      <c r="W8" s="110">
        <f>V8/V$8</f>
        <v>1</v>
      </c>
      <c r="X8" s="112"/>
      <c r="Y8" s="108"/>
      <c r="Z8" s="109">
        <f>VLOOKUP(A8,'IS Xero'!A:F,6,0)</f>
        <v>17239.150000000001</v>
      </c>
      <c r="AA8" s="110">
        <f>Z8/$Z$8</f>
        <v>1</v>
      </c>
      <c r="AB8" s="112"/>
    </row>
    <row r="9" spans="1:30" s="180" customFormat="1" ht="15.75" x14ac:dyDescent="0.25">
      <c r="A9" s="5"/>
      <c r="C9" s="181"/>
      <c r="D9" s="182"/>
      <c r="E9" s="183"/>
      <c r="F9" s="184"/>
      <c r="G9" s="185"/>
      <c r="H9" s="182"/>
      <c r="I9" s="183"/>
      <c r="J9" s="184"/>
      <c r="K9" s="185"/>
      <c r="L9" s="182"/>
      <c r="M9" s="183"/>
      <c r="N9" s="184"/>
      <c r="O9" s="185"/>
      <c r="P9" s="182"/>
      <c r="Q9" s="183"/>
      <c r="R9" s="184"/>
      <c r="S9" s="185"/>
      <c r="T9" s="156"/>
      <c r="U9" s="182"/>
      <c r="V9" s="183"/>
      <c r="W9" s="184"/>
      <c r="X9" s="186"/>
      <c r="Y9" s="182"/>
      <c r="Z9" s="183"/>
      <c r="AA9" s="184"/>
      <c r="AB9" s="186"/>
    </row>
    <row r="10" spans="1:30" s="180" customFormat="1" ht="15.75" x14ac:dyDescent="0.25">
      <c r="A10" s="5"/>
      <c r="C10" s="181" t="s">
        <v>22</v>
      </c>
      <c r="D10" s="182"/>
      <c r="E10" s="183"/>
      <c r="F10" s="184"/>
      <c r="G10" s="185"/>
      <c r="H10" s="182"/>
      <c r="I10" s="183"/>
      <c r="J10" s="184"/>
      <c r="K10" s="185"/>
      <c r="L10" s="182"/>
      <c r="M10" s="183"/>
      <c r="N10" s="184"/>
      <c r="O10" s="185"/>
      <c r="P10" s="182"/>
      <c r="Q10" s="183"/>
      <c r="R10" s="184"/>
      <c r="S10" s="185"/>
      <c r="T10" s="156"/>
      <c r="U10" s="182"/>
      <c r="V10" s="183"/>
      <c r="W10" s="184"/>
      <c r="X10" s="186"/>
      <c r="Y10" s="182"/>
      <c r="Z10" s="183"/>
      <c r="AA10" s="184"/>
      <c r="AB10" s="186"/>
    </row>
    <row r="11" spans="1:30" s="180" customFormat="1" ht="15.75" x14ac:dyDescent="0.25">
      <c r="A11" s="5" t="s">
        <v>94</v>
      </c>
      <c r="C11" s="134" t="s">
        <v>94</v>
      </c>
      <c r="D11" s="182"/>
      <c r="E11" s="58">
        <f>VLOOKUP(A11,'IS Xero'!A:C,2,0)</f>
        <v>186.9</v>
      </c>
      <c r="F11" s="184">
        <f t="shared" ref="F11:F14" si="0">E11/E$8</f>
        <v>6.3897435897435906E-2</v>
      </c>
      <c r="G11" s="185"/>
      <c r="H11" s="182"/>
      <c r="I11" s="58">
        <f>VLOOKUP(A11,'IS Xero'!A:C,3,0)</f>
        <v>178.82</v>
      </c>
      <c r="J11" s="184">
        <f t="shared" ref="J11:J14" si="1">I11/I$8</f>
        <v>6.2246975894178047E-2</v>
      </c>
      <c r="K11" s="185"/>
      <c r="L11" s="182"/>
      <c r="M11" s="58">
        <f>VLOOKUP(A11,'IS Xero'!A:F,4,0)</f>
        <v>210.97</v>
      </c>
      <c r="N11" s="184">
        <f t="shared" ref="N11:N14" si="2">M11/M$8</f>
        <v>6.9380909315136075E-2</v>
      </c>
      <c r="O11" s="185"/>
      <c r="P11" s="182"/>
      <c r="Q11" s="183">
        <f>VLOOKUP(A11,'IS Xero'!A:I,5,0)</f>
        <v>177.65</v>
      </c>
      <c r="R11" s="184">
        <f t="shared" ref="R11:R14" si="3">Q11/Q$8</f>
        <v>6.7419354838709686E-2</v>
      </c>
      <c r="S11" s="185"/>
      <c r="T11" s="156"/>
      <c r="U11" s="182"/>
      <c r="V11" s="183">
        <f t="shared" ref="V11:V14" si="4">+Z11-E11</f>
        <v>964.35</v>
      </c>
      <c r="W11" s="184">
        <f t="shared" ref="W11:W14" si="5">V11/V$8</f>
        <v>6.7370399220351887E-2</v>
      </c>
      <c r="X11" s="186"/>
      <c r="Y11" s="182"/>
      <c r="Z11" s="58">
        <f>VLOOKUP(A11,'IS Xero'!A:F,6,0)</f>
        <v>1151.25</v>
      </c>
      <c r="AA11" s="184">
        <f t="shared" ref="AA11:AA14" si="6">Z11/$Z$8</f>
        <v>6.6781134800729725E-2</v>
      </c>
      <c r="AB11" s="186"/>
    </row>
    <row r="12" spans="1:30" s="180" customFormat="1" ht="15.75" x14ac:dyDescent="0.25">
      <c r="A12" s="5" t="s">
        <v>95</v>
      </c>
      <c r="C12" s="134" t="s">
        <v>95</v>
      </c>
      <c r="D12" s="182"/>
      <c r="E12" s="58">
        <f>VLOOKUP(A12,'IS Xero'!A:C,2,0)</f>
        <v>1380</v>
      </c>
      <c r="F12" s="184">
        <f t="shared" ref="F12" si="7">E12/E$8</f>
        <v>0.47179487179487178</v>
      </c>
      <c r="G12" s="185"/>
      <c r="H12" s="182"/>
      <c r="I12" s="58">
        <f>VLOOKUP(A12,'IS Xero'!A:C,3,0)</f>
        <v>1272</v>
      </c>
      <c r="J12" s="184">
        <f t="shared" ref="J12" si="8">I12/I$8</f>
        <v>0.44278130710991209</v>
      </c>
      <c r="K12" s="185"/>
      <c r="L12" s="182"/>
      <c r="M12" s="58">
        <f>VLOOKUP(A12,'IS Xero'!A:F,4,0)</f>
        <v>1191</v>
      </c>
      <c r="N12" s="184">
        <f t="shared" ref="N12" si="9">M12/M$8</f>
        <v>0.39167968428841571</v>
      </c>
      <c r="O12" s="185"/>
      <c r="P12" s="182"/>
      <c r="Q12" s="183">
        <f>VLOOKUP(A12,'IS Xero'!A:I,5,0)</f>
        <v>1330</v>
      </c>
      <c r="R12" s="184">
        <f t="shared" ref="R12" si="10">Q12/Q$8</f>
        <v>0.50474383301707781</v>
      </c>
      <c r="S12" s="185"/>
      <c r="T12" s="156"/>
      <c r="U12" s="182"/>
      <c r="V12" s="183">
        <f t="shared" ref="V12" si="11">+Z12-E12</f>
        <v>6201</v>
      </c>
      <c r="W12" s="184">
        <f t="shared" ref="W12" si="12">V12/V$8</f>
        <v>0.43320770007300463</v>
      </c>
      <c r="X12" s="186"/>
      <c r="Y12" s="182"/>
      <c r="Z12" s="58">
        <f>VLOOKUP(A12,'IS Xero'!A:F,6,0)</f>
        <v>7581</v>
      </c>
      <c r="AA12" s="184">
        <f t="shared" ref="AA12" si="13">Z12/$Z$8</f>
        <v>0.43975486030343719</v>
      </c>
      <c r="AB12" s="186"/>
    </row>
    <row r="13" spans="1:30" s="180" customFormat="1" ht="15.75" x14ac:dyDescent="0.25">
      <c r="A13" s="5" t="s">
        <v>70</v>
      </c>
      <c r="C13" s="134" t="s">
        <v>70</v>
      </c>
      <c r="D13" s="182"/>
      <c r="E13" s="58">
        <f>VLOOKUP(A13,'IS Xero'!A:C,2,0)</f>
        <v>217</v>
      </c>
      <c r="F13" s="184">
        <f t="shared" si="0"/>
        <v>7.4188034188034185E-2</v>
      </c>
      <c r="G13" s="185"/>
      <c r="H13" s="182"/>
      <c r="I13" s="58">
        <f>VLOOKUP(A13,'IS Xero'!A:C,3,0)</f>
        <v>1027</v>
      </c>
      <c r="J13" s="184">
        <f t="shared" si="1"/>
        <v>0.357497171699591</v>
      </c>
      <c r="K13" s="185"/>
      <c r="L13" s="182"/>
      <c r="M13" s="58">
        <f>VLOOKUP(A13,'IS Xero'!A:F,4,0)</f>
        <v>56.5</v>
      </c>
      <c r="N13" s="184">
        <f t="shared" si="2"/>
        <v>1.8580942201759435E-2</v>
      </c>
      <c r="O13" s="185"/>
      <c r="P13" s="182"/>
      <c r="Q13" s="183">
        <f>VLOOKUP(A13,'IS Xero'!A:I,5,0)</f>
        <v>560.5</v>
      </c>
      <c r="R13" s="184">
        <f t="shared" si="3"/>
        <v>0.2127134724857685</v>
      </c>
      <c r="S13" s="185"/>
      <c r="T13" s="156"/>
      <c r="U13" s="182"/>
      <c r="V13" s="183">
        <f t="shared" si="4"/>
        <v>1713.5</v>
      </c>
      <c r="W13" s="184">
        <f t="shared" si="5"/>
        <v>0.11970672376634309</v>
      </c>
      <c r="X13" s="186"/>
      <c r="Y13" s="182"/>
      <c r="Z13" s="58">
        <f>VLOOKUP(A13,'IS Xero'!A:F,6,0)</f>
        <v>1930.5</v>
      </c>
      <c r="AA13" s="184">
        <f t="shared" si="6"/>
        <v>0.11198347946389467</v>
      </c>
      <c r="AB13" s="186"/>
    </row>
    <row r="14" spans="1:30" s="180" customFormat="1" ht="15.75" x14ac:dyDescent="0.25">
      <c r="A14" s="5" t="s">
        <v>57</v>
      </c>
      <c r="C14" s="134" t="s">
        <v>57</v>
      </c>
      <c r="D14" s="182"/>
      <c r="E14" s="58">
        <f>VLOOKUP(A14,'IS Xero'!A:C,2,0)</f>
        <v>156.85</v>
      </c>
      <c r="F14" s="184">
        <f t="shared" si="0"/>
        <v>5.3623931623931621E-2</v>
      </c>
      <c r="G14" s="185"/>
      <c r="H14" s="182"/>
      <c r="I14" s="58">
        <f>VLOOKUP(A14,'IS Xero'!A:C,3,0)</f>
        <v>204.42</v>
      </c>
      <c r="J14" s="184">
        <f t="shared" si="1"/>
        <v>7.1158297798276912E-2</v>
      </c>
      <c r="K14" s="185"/>
      <c r="L14" s="182"/>
      <c r="M14" s="58">
        <f>VLOOKUP(A14,'IS Xero'!A:F,4,0)</f>
        <v>175.53</v>
      </c>
      <c r="N14" s="184">
        <f t="shared" si="2"/>
        <v>5.7725889994244842E-2</v>
      </c>
      <c r="O14" s="185"/>
      <c r="P14" s="182"/>
      <c r="Q14" s="183">
        <f>VLOOKUP(A14,'IS Xero'!A:I,5,0)</f>
        <v>157.63999999999999</v>
      </c>
      <c r="R14" s="184">
        <f t="shared" si="3"/>
        <v>5.9825426944971533E-2</v>
      </c>
      <c r="S14" s="185"/>
      <c r="T14" s="156"/>
      <c r="U14" s="182"/>
      <c r="V14" s="183">
        <f t="shared" si="4"/>
        <v>793.74</v>
      </c>
      <c r="W14" s="184">
        <f t="shared" si="5"/>
        <v>5.5451423940646137E-2</v>
      </c>
      <c r="X14" s="186"/>
      <c r="Y14" s="182"/>
      <c r="Z14" s="58">
        <f>VLOOKUP(A14,'IS Xero'!A:F,6,0)</f>
        <v>950.59</v>
      </c>
      <c r="AA14" s="184">
        <f t="shared" si="6"/>
        <v>5.51413497765261E-2</v>
      </c>
      <c r="AB14" s="186"/>
    </row>
    <row r="15" spans="1:30" ht="15" x14ac:dyDescent="0.2">
      <c r="A15" s="5" t="s">
        <v>52</v>
      </c>
      <c r="C15" s="120" t="s">
        <v>53</v>
      </c>
      <c r="D15" s="9"/>
      <c r="E15" s="16">
        <f>SUM(E11:E14)</f>
        <v>1940.75</v>
      </c>
      <c r="F15" s="114">
        <f t="shared" ref="F15:F17" si="14">E15/E$8</f>
        <v>0.66350427350427355</v>
      </c>
      <c r="G15" s="115"/>
      <c r="H15" s="9"/>
      <c r="I15" s="16">
        <f>SUM(I11:I14)</f>
        <v>2682.24</v>
      </c>
      <c r="J15" s="114">
        <f t="shared" ref="J15:J17" si="15">I15/I$8</f>
        <v>0.93368375250195801</v>
      </c>
      <c r="K15" s="115"/>
      <c r="L15" s="9"/>
      <c r="M15" s="16">
        <f>SUM(M11:M14)</f>
        <v>1634</v>
      </c>
      <c r="N15" s="114">
        <f t="shared" ref="N15:N17" si="16">M15/M$8</f>
        <v>0.53736742579955599</v>
      </c>
      <c r="O15" s="115"/>
      <c r="P15" s="9"/>
      <c r="Q15" s="14" t="e">
        <f>VLOOKUP(A15,'IS Xero'!A:I,5,0)</f>
        <v>#N/A</v>
      </c>
      <c r="R15" s="114" t="e">
        <f t="shared" ref="R15:R17" si="17">Q15/Q$8</f>
        <v>#N/A</v>
      </c>
      <c r="S15" s="115"/>
      <c r="T15" s="157"/>
      <c r="U15" s="9"/>
      <c r="V15" s="14">
        <f>+Z15-E15</f>
        <v>9672.59</v>
      </c>
      <c r="W15" s="114">
        <f t="shared" ref="W15:W17" si="18">V15/V$8</f>
        <v>0.67573624700034574</v>
      </c>
      <c r="X15" s="23"/>
      <c r="Y15" s="9"/>
      <c r="Z15" s="16">
        <f>SUM(Z11:Z14)</f>
        <v>11613.34</v>
      </c>
      <c r="AA15" s="114">
        <f t="shared" ref="AA15" si="19">Z15/$Z$8</f>
        <v>0.67366082434458774</v>
      </c>
      <c r="AB15" s="23"/>
    </row>
    <row r="16" spans="1:30" ht="15" x14ac:dyDescent="0.2">
      <c r="A16" s="5"/>
      <c r="C16" s="120"/>
      <c r="D16" s="9"/>
      <c r="E16" s="13"/>
      <c r="F16" s="114"/>
      <c r="G16" s="115"/>
      <c r="H16" s="9"/>
      <c r="I16" s="13"/>
      <c r="J16" s="114"/>
      <c r="K16" s="115"/>
      <c r="L16" s="9"/>
      <c r="M16" s="13"/>
      <c r="N16" s="114"/>
      <c r="O16" s="115"/>
      <c r="P16" s="9"/>
      <c r="Q16" s="13"/>
      <c r="R16" s="114"/>
      <c r="S16" s="115"/>
      <c r="T16" s="157"/>
      <c r="U16" s="9"/>
      <c r="V16" s="13"/>
      <c r="W16" s="114"/>
      <c r="X16" s="23"/>
      <c r="Y16" s="9"/>
      <c r="Z16" s="13"/>
      <c r="AA16" s="114"/>
      <c r="AB16" s="23"/>
    </row>
    <row r="17" spans="1:28" s="37" customFormat="1" ht="15.75" x14ac:dyDescent="0.25">
      <c r="C17" s="132" t="s">
        <v>23</v>
      </c>
      <c r="D17" s="108"/>
      <c r="E17" s="118">
        <f>+E8-E15</f>
        <v>984.25</v>
      </c>
      <c r="F17" s="110">
        <f t="shared" si="14"/>
        <v>0.33649572649572651</v>
      </c>
      <c r="G17" s="111"/>
      <c r="H17" s="108"/>
      <c r="I17" s="118">
        <f>+I8-I15</f>
        <v>190.51000000000022</v>
      </c>
      <c r="J17" s="110">
        <f t="shared" si="15"/>
        <v>6.6316247498042019E-2</v>
      </c>
      <c r="K17" s="111"/>
      <c r="L17" s="108"/>
      <c r="M17" s="118">
        <f>+M8-M15</f>
        <v>1406.75</v>
      </c>
      <c r="N17" s="110">
        <f t="shared" si="16"/>
        <v>0.46263257420044396</v>
      </c>
      <c r="O17" s="111"/>
      <c r="P17" s="108"/>
      <c r="Q17" s="118" t="e">
        <f>SUM(#REF!)</f>
        <v>#REF!</v>
      </c>
      <c r="R17" s="110" t="e">
        <f t="shared" si="17"/>
        <v>#REF!</v>
      </c>
      <c r="S17" s="111"/>
      <c r="T17" s="156"/>
      <c r="U17" s="108"/>
      <c r="V17" s="118" t="e">
        <f>SUM(#REF!)</f>
        <v>#REF!</v>
      </c>
      <c r="W17" s="110" t="e">
        <f t="shared" si="18"/>
        <v>#REF!</v>
      </c>
      <c r="X17" s="112"/>
      <c r="Y17" s="108"/>
      <c r="Z17" s="118">
        <f>+Z8-Z15</f>
        <v>5625.8100000000013</v>
      </c>
      <c r="AA17" s="110">
        <f>Z17/$Z$8</f>
        <v>0.32633917565541232</v>
      </c>
      <c r="AB17" s="112"/>
    </row>
    <row r="18" spans="1:28" ht="15" x14ac:dyDescent="0.2">
      <c r="C18" s="113"/>
      <c r="D18" s="9"/>
      <c r="E18" s="13"/>
      <c r="F18" s="119"/>
      <c r="G18" s="115"/>
      <c r="H18" s="9"/>
      <c r="I18" s="13"/>
      <c r="J18" s="119"/>
      <c r="K18" s="115"/>
      <c r="L18" s="9"/>
      <c r="M18" s="13"/>
      <c r="N18" s="119"/>
      <c r="O18" s="115"/>
      <c r="P18" s="9"/>
      <c r="Q18" s="13"/>
      <c r="R18" s="119"/>
      <c r="S18" s="115"/>
      <c r="T18" s="157"/>
      <c r="U18" s="9"/>
      <c r="V18" s="13"/>
      <c r="W18" s="119"/>
      <c r="X18" s="23"/>
      <c r="Y18" s="9"/>
      <c r="Z18" s="13"/>
      <c r="AA18" s="119"/>
      <c r="AB18" s="23"/>
    </row>
    <row r="19" spans="1:28" ht="15" x14ac:dyDescent="0.2">
      <c r="C19" s="120" t="s">
        <v>24</v>
      </c>
      <c r="D19" s="9"/>
      <c r="E19" s="13"/>
      <c r="F19" s="114"/>
      <c r="G19" s="115"/>
      <c r="H19" s="9"/>
      <c r="I19" s="13"/>
      <c r="J19" s="114"/>
      <c r="K19" s="115"/>
      <c r="L19" s="9"/>
      <c r="M19" s="13"/>
      <c r="N19" s="114"/>
      <c r="O19" s="115"/>
      <c r="P19" s="9"/>
      <c r="Q19" s="13"/>
      <c r="R19" s="114"/>
      <c r="S19" s="115"/>
      <c r="T19" s="157"/>
      <c r="U19" s="9"/>
      <c r="V19" s="13"/>
      <c r="W19" s="114"/>
      <c r="X19" s="23"/>
      <c r="Y19" s="9"/>
      <c r="Z19" s="13"/>
      <c r="AA19" s="114"/>
      <c r="AB19" s="23"/>
    </row>
    <row r="20" spans="1:28" ht="15" x14ac:dyDescent="0.2">
      <c r="A20" s="5" t="s">
        <v>68</v>
      </c>
      <c r="C20" s="134" t="s">
        <v>68</v>
      </c>
      <c r="D20" s="9"/>
      <c r="E20" s="13">
        <f>VLOOKUP(A20,'IS Xero'!A:C,2,0)</f>
        <v>200</v>
      </c>
      <c r="F20" s="114">
        <f t="shared" ref="F20:F32" si="20">E20/E$8</f>
        <v>6.8376068376068383E-2</v>
      </c>
      <c r="G20" s="115"/>
      <c r="H20" s="9"/>
      <c r="I20" s="13">
        <f>VLOOKUP(A20,'IS Xero'!A:C,3,0)</f>
        <v>200</v>
      </c>
      <c r="J20" s="114">
        <f t="shared" ref="J20:J32" si="21">I20/I$8</f>
        <v>6.9619702375772349E-2</v>
      </c>
      <c r="K20" s="115"/>
      <c r="L20" s="9"/>
      <c r="M20" s="13">
        <f>VLOOKUP(A20,'IS Xero'!A:F,4,0)</f>
        <v>200</v>
      </c>
      <c r="N20" s="114">
        <f t="shared" ref="N20:N32" si="22">M20/M$8</f>
        <v>6.5773246731891805E-2</v>
      </c>
      <c r="O20" s="115"/>
      <c r="P20" s="9"/>
      <c r="Q20" s="13">
        <f>VLOOKUP(A20,'IS Xero'!A:I,5,0)</f>
        <v>200</v>
      </c>
      <c r="R20" s="114">
        <f t="shared" ref="R20:R32" si="23">Q20/Q$8</f>
        <v>7.5901328273244778E-2</v>
      </c>
      <c r="S20" s="115"/>
      <c r="T20" s="157"/>
      <c r="U20" s="9"/>
      <c r="V20" s="13">
        <f t="shared" ref="V20:V31" si="24">+Z20-E20</f>
        <v>1000</v>
      </c>
      <c r="W20" s="114">
        <f t="shared" ref="W20:W32" si="25">V20/V$8</f>
        <v>6.9860941795356332E-2</v>
      </c>
      <c r="X20" s="23"/>
      <c r="Y20" s="9"/>
      <c r="Z20" s="13">
        <f>VLOOKUP(A20,'IS Xero'!A:F,6,0)</f>
        <v>1200</v>
      </c>
      <c r="AA20" s="114">
        <f t="shared" ref="AA20" si="26">Z20/$Z$8</f>
        <v>6.9609000443757368E-2</v>
      </c>
      <c r="AB20" s="23"/>
    </row>
    <row r="21" spans="1:28" ht="15" x14ac:dyDescent="0.2">
      <c r="A21" s="5" t="s">
        <v>96</v>
      </c>
      <c r="C21" s="134" t="s">
        <v>96</v>
      </c>
      <c r="D21" s="9"/>
      <c r="E21" s="13">
        <f>VLOOKUP(A21,'IS Xero'!A:C,2,0)</f>
        <v>0.5</v>
      </c>
      <c r="F21" s="114">
        <f t="shared" si="20"/>
        <v>1.7094017094017094E-4</v>
      </c>
      <c r="G21" s="115"/>
      <c r="H21" s="9"/>
      <c r="I21" s="13">
        <f>VLOOKUP(A21,'IS Xero'!A:C,3,0)</f>
        <v>1.8</v>
      </c>
      <c r="J21" s="114">
        <f t="shared" si="21"/>
        <v>6.2657732138195112E-4</v>
      </c>
      <c r="K21" s="115"/>
      <c r="L21" s="9"/>
      <c r="M21" s="13">
        <f>VLOOKUP(A21,'IS Xero'!A:F,4,0)</f>
        <v>3.48</v>
      </c>
      <c r="N21" s="114">
        <f t="shared" si="22"/>
        <v>1.1444544931349173E-3</v>
      </c>
      <c r="O21" s="115"/>
      <c r="P21" s="9"/>
      <c r="Q21" s="13">
        <f>VLOOKUP(A21,'IS Xero'!A:I,5,0)</f>
        <v>0.3</v>
      </c>
      <c r="R21" s="114">
        <f t="shared" si="23"/>
        <v>1.1385199240986717E-4</v>
      </c>
      <c r="S21" s="115"/>
      <c r="T21" s="157"/>
      <c r="U21" s="9"/>
      <c r="V21" s="13">
        <f t="shared" si="24"/>
        <v>6.73</v>
      </c>
      <c r="W21" s="114">
        <f t="shared" si="25"/>
        <v>4.7016413828274817E-4</v>
      </c>
      <c r="X21" s="23"/>
      <c r="Y21" s="9"/>
      <c r="Z21" s="13">
        <f>VLOOKUP(A21,'IS Xero'!A:F,6,0)</f>
        <v>7.23</v>
      </c>
      <c r="AA21" s="114">
        <f>Z21/$Z$8</f>
        <v>4.1939422767363821E-4</v>
      </c>
      <c r="AB21" s="23"/>
    </row>
    <row r="22" spans="1:28" ht="15" x14ac:dyDescent="0.2">
      <c r="A22" s="5" t="s">
        <v>55</v>
      </c>
      <c r="C22" s="134" t="s">
        <v>55</v>
      </c>
      <c r="D22" s="12"/>
      <c r="E22" s="13">
        <f>VLOOKUP(A22,'IS Xero'!A:C,2,0)</f>
        <v>0</v>
      </c>
      <c r="F22" s="114">
        <f t="shared" si="20"/>
        <v>0</v>
      </c>
      <c r="G22" s="121"/>
      <c r="H22" s="12"/>
      <c r="I22" s="13">
        <f>VLOOKUP(A22,'IS Xero'!A:C,3,0)</f>
        <v>115</v>
      </c>
      <c r="J22" s="114">
        <f t="shared" si="21"/>
        <v>4.0031328866069096E-2</v>
      </c>
      <c r="K22" s="121"/>
      <c r="L22" s="12"/>
      <c r="M22" s="13">
        <f>VLOOKUP(A22,'IS Xero'!A:F,4,0)</f>
        <v>0</v>
      </c>
      <c r="N22" s="114">
        <f t="shared" si="22"/>
        <v>0</v>
      </c>
      <c r="O22" s="121"/>
      <c r="P22" s="12"/>
      <c r="Q22" s="13">
        <f>VLOOKUP(A22,'IS Xero'!A:I,5,0)</f>
        <v>90</v>
      </c>
      <c r="R22" s="114">
        <f t="shared" si="23"/>
        <v>3.4155597722960153E-2</v>
      </c>
      <c r="S22" s="121"/>
      <c r="T22" s="158"/>
      <c r="U22" s="12"/>
      <c r="V22" s="13">
        <f t="shared" si="24"/>
        <v>265</v>
      </c>
      <c r="W22" s="114">
        <f t="shared" si="25"/>
        <v>1.8513149575769428E-2</v>
      </c>
      <c r="X22" s="50"/>
      <c r="Y22" s="12"/>
      <c r="Z22" s="13">
        <f>VLOOKUP(A22,'IS Xero'!A:F,6,0)</f>
        <v>265</v>
      </c>
      <c r="AA22" s="114">
        <f>Z22/$Z$8</f>
        <v>1.537198759799642E-2</v>
      </c>
      <c r="AB22" s="50"/>
    </row>
    <row r="23" spans="1:28" ht="15" x14ac:dyDescent="0.2">
      <c r="A23" s="5" t="s">
        <v>97</v>
      </c>
      <c r="C23" s="134" t="s">
        <v>97</v>
      </c>
      <c r="D23" s="12"/>
      <c r="E23" s="13">
        <f>VLOOKUP(A23,'IS Xero'!A:C,2,0)</f>
        <v>200.99</v>
      </c>
      <c r="F23" s="114">
        <f t="shared" si="20"/>
        <v>6.871452991452992E-2</v>
      </c>
      <c r="G23" s="121"/>
      <c r="H23" s="12"/>
      <c r="I23" s="13">
        <f>VLOOKUP(A23,'IS Xero'!A:C,3,0)</f>
        <v>201.02</v>
      </c>
      <c r="J23" s="114">
        <f t="shared" si="21"/>
        <v>6.9974762857888784E-2</v>
      </c>
      <c r="K23" s="121"/>
      <c r="L23" s="12"/>
      <c r="M23" s="13">
        <f>VLOOKUP(A23,'IS Xero'!A:F,4,0)</f>
        <v>200.99</v>
      </c>
      <c r="N23" s="114">
        <f t="shared" si="22"/>
        <v>6.6098824303214676E-2</v>
      </c>
      <c r="O23" s="121"/>
      <c r="P23" s="12"/>
      <c r="Q23" s="13">
        <f>VLOOKUP(A23,'IS Xero'!A:I,5,0)</f>
        <v>200.99</v>
      </c>
      <c r="R23" s="114">
        <f t="shared" si="23"/>
        <v>7.6277039848197351E-2</v>
      </c>
      <c r="S23" s="121"/>
      <c r="T23" s="158"/>
      <c r="U23" s="12"/>
      <c r="V23" s="13">
        <f t="shared" si="24"/>
        <v>1005.01</v>
      </c>
      <c r="W23" s="114">
        <f t="shared" si="25"/>
        <v>7.0210945113751075E-2</v>
      </c>
      <c r="X23" s="50"/>
      <c r="Y23" s="12"/>
      <c r="Z23" s="13">
        <f>VLOOKUP(A23,'IS Xero'!A:F,6,0)</f>
        <v>1206</v>
      </c>
      <c r="AA23" s="114">
        <f t="shared" ref="AA23" si="27">Z23/$Z$8</f>
        <v>6.9957045445976154E-2</v>
      </c>
      <c r="AB23" s="50"/>
    </row>
    <row r="24" spans="1:28" ht="15" x14ac:dyDescent="0.2">
      <c r="A24" s="5" t="s">
        <v>98</v>
      </c>
      <c r="C24" s="134" t="s">
        <v>98</v>
      </c>
      <c r="D24" s="9"/>
      <c r="E24" s="13">
        <f>VLOOKUP(A24,'IS Xero'!A:C,2,0)</f>
        <v>29.15</v>
      </c>
      <c r="F24" s="114">
        <f t="shared" si="20"/>
        <v>9.9658119658119649E-3</v>
      </c>
      <c r="G24" s="115"/>
      <c r="H24" s="9"/>
      <c r="I24" s="13">
        <f>VLOOKUP(A24,'IS Xero'!A:C,3,0)</f>
        <v>38.770000000000003</v>
      </c>
      <c r="J24" s="114">
        <f t="shared" si="21"/>
        <v>1.349577930554347E-2</v>
      </c>
      <c r="K24" s="115"/>
      <c r="L24" s="9"/>
      <c r="M24" s="13">
        <f>VLOOKUP(A24,'IS Xero'!A:F,4,0)</f>
        <v>44.06</v>
      </c>
      <c r="N24" s="114">
        <f t="shared" si="22"/>
        <v>1.4489846255035766E-2</v>
      </c>
      <c r="O24" s="115"/>
      <c r="P24" s="9"/>
      <c r="Q24" s="13">
        <f>VLOOKUP(A24,'IS Xero'!A:I,5,0)</f>
        <v>44.08</v>
      </c>
      <c r="R24" s="114">
        <f t="shared" si="23"/>
        <v>1.672865275142315E-2</v>
      </c>
      <c r="S24" s="115"/>
      <c r="T24" s="157"/>
      <c r="U24" s="9"/>
      <c r="V24" s="13">
        <f t="shared" si="24"/>
        <v>215.07</v>
      </c>
      <c r="W24" s="114">
        <f t="shared" si="25"/>
        <v>1.5024992751927287E-2</v>
      </c>
      <c r="X24" s="23"/>
      <c r="Y24" s="9"/>
      <c r="Z24" s="13">
        <f>VLOOKUP(A24,'IS Xero'!A:F,6,0)</f>
        <v>244.22</v>
      </c>
      <c r="AA24" s="114">
        <f t="shared" ref="AA24:AA31" si="28">Z24/$Z$8</f>
        <v>1.4166591740312021E-2</v>
      </c>
      <c r="AB24" s="23"/>
    </row>
    <row r="25" spans="1:28" ht="15" x14ac:dyDescent="0.2">
      <c r="A25" s="5" t="s">
        <v>99</v>
      </c>
      <c r="C25" s="134" t="s">
        <v>99</v>
      </c>
      <c r="D25" s="9"/>
      <c r="E25" s="13">
        <f>VLOOKUP(A25,'IS Xero'!A:C,2,0)</f>
        <v>0</v>
      </c>
      <c r="F25" s="114">
        <f t="shared" si="20"/>
        <v>0</v>
      </c>
      <c r="G25" s="115"/>
      <c r="H25" s="9"/>
      <c r="I25" s="13">
        <f>VLOOKUP(A25,'IS Xero'!A:C,3,0)</f>
        <v>240</v>
      </c>
      <c r="J25" s="114">
        <f t="shared" si="21"/>
        <v>8.3543642850926816E-2</v>
      </c>
      <c r="K25" s="115"/>
      <c r="L25" s="9"/>
      <c r="M25" s="13">
        <f>VLOOKUP(A25,'IS Xero'!A:F,4,0)</f>
        <v>0</v>
      </c>
      <c r="N25" s="114">
        <f t="shared" si="22"/>
        <v>0</v>
      </c>
      <c r="O25" s="115"/>
      <c r="P25" s="9"/>
      <c r="Q25" s="13">
        <f>VLOOKUP(A25,'IS Xero'!A:I,5,0)</f>
        <v>0</v>
      </c>
      <c r="R25" s="114">
        <f t="shared" si="23"/>
        <v>0</v>
      </c>
      <c r="S25" s="115"/>
      <c r="T25" s="157"/>
      <c r="U25" s="9"/>
      <c r="V25" s="13">
        <f t="shared" si="24"/>
        <v>240</v>
      </c>
      <c r="W25" s="114">
        <f t="shared" si="25"/>
        <v>1.676662603088552E-2</v>
      </c>
      <c r="X25" s="23"/>
      <c r="Y25" s="9"/>
      <c r="Z25" s="13">
        <f>VLOOKUP(A25,'IS Xero'!A:F,6,0)</f>
        <v>240</v>
      </c>
      <c r="AA25" s="114">
        <f t="shared" si="28"/>
        <v>1.3921800088751475E-2</v>
      </c>
      <c r="AB25" s="23"/>
    </row>
    <row r="26" spans="1:28" ht="15" x14ac:dyDescent="0.2">
      <c r="A26" s="5" t="s">
        <v>56</v>
      </c>
      <c r="C26" s="134" t="s">
        <v>56</v>
      </c>
      <c r="D26" s="9"/>
      <c r="E26" s="13">
        <f>VLOOKUP(A26,'IS Xero'!A:C,2,0)</f>
        <v>47</v>
      </c>
      <c r="F26" s="114">
        <f t="shared" si="20"/>
        <v>1.6068376068376067E-2</v>
      </c>
      <c r="G26" s="115"/>
      <c r="H26" s="9"/>
      <c r="I26" s="13">
        <f>VLOOKUP(A26,'IS Xero'!A:C,3,0)</f>
        <v>155</v>
      </c>
      <c r="J26" s="114">
        <f t="shared" si="21"/>
        <v>5.3955269341223563E-2</v>
      </c>
      <c r="K26" s="115"/>
      <c r="L26" s="9"/>
      <c r="M26" s="13">
        <f>VLOOKUP(A26,'IS Xero'!A:F,4,0)</f>
        <v>40</v>
      </c>
      <c r="N26" s="114">
        <f t="shared" si="22"/>
        <v>1.3154649346378361E-2</v>
      </c>
      <c r="O26" s="115"/>
      <c r="P26" s="9"/>
      <c r="Q26" s="13">
        <f>VLOOKUP(A26,'IS Xero'!A:I,5,0)</f>
        <v>0</v>
      </c>
      <c r="R26" s="114">
        <f t="shared" si="23"/>
        <v>0</v>
      </c>
      <c r="S26" s="115"/>
      <c r="T26" s="157"/>
      <c r="U26" s="9"/>
      <c r="V26" s="13">
        <f t="shared" si="24"/>
        <v>195</v>
      </c>
      <c r="W26" s="114">
        <f t="shared" si="25"/>
        <v>1.3622883650094486E-2</v>
      </c>
      <c r="X26" s="23"/>
      <c r="Y26" s="9"/>
      <c r="Z26" s="13">
        <f>VLOOKUP(A26,'IS Xero'!A:F,6,0)</f>
        <v>242</v>
      </c>
      <c r="AA26" s="114">
        <f t="shared" si="28"/>
        <v>1.4037815089491069E-2</v>
      </c>
      <c r="AB26" s="23"/>
    </row>
    <row r="27" spans="1:28" ht="15" x14ac:dyDescent="0.2">
      <c r="A27" s="5" t="s">
        <v>69</v>
      </c>
      <c r="C27" s="134" t="s">
        <v>69</v>
      </c>
      <c r="D27" s="9"/>
      <c r="E27" s="13">
        <f>VLOOKUP(A27,'IS Xero'!A:C,2,0)</f>
        <v>0</v>
      </c>
      <c r="F27" s="114">
        <f t="shared" si="20"/>
        <v>0</v>
      </c>
      <c r="G27" s="115"/>
      <c r="H27" s="9"/>
      <c r="I27" s="13">
        <f>VLOOKUP(A27,'IS Xero'!A:C,3,0)</f>
        <v>0</v>
      </c>
      <c r="J27" s="114">
        <f t="shared" si="21"/>
        <v>0</v>
      </c>
      <c r="K27" s="115"/>
      <c r="L27" s="9"/>
      <c r="M27" s="13">
        <f>VLOOKUP(A27,'IS Xero'!A:F,4,0)</f>
        <v>0</v>
      </c>
      <c r="N27" s="114">
        <f t="shared" si="22"/>
        <v>0</v>
      </c>
      <c r="O27" s="115"/>
      <c r="P27" s="9"/>
      <c r="Q27" s="13">
        <f>VLOOKUP(A27,'IS Xero'!A:I,5,0)</f>
        <v>0.77</v>
      </c>
      <c r="R27" s="114">
        <f t="shared" si="23"/>
        <v>2.9222011385199244E-4</v>
      </c>
      <c r="S27" s="115"/>
      <c r="T27" s="157"/>
      <c r="U27" s="9"/>
      <c r="V27" s="13">
        <f t="shared" si="24"/>
        <v>5.17</v>
      </c>
      <c r="W27" s="114">
        <f t="shared" si="25"/>
        <v>3.6118106908199227E-4</v>
      </c>
      <c r="X27" s="23"/>
      <c r="Y27" s="9"/>
      <c r="Z27" s="13">
        <f>VLOOKUP(A27,'IS Xero'!A:F,6,0)</f>
        <v>5.17</v>
      </c>
      <c r="AA27" s="114">
        <f t="shared" si="28"/>
        <v>2.9989877691185467E-4</v>
      </c>
      <c r="AB27" s="23"/>
    </row>
    <row r="28" spans="1:28" ht="15" x14ac:dyDescent="0.2">
      <c r="A28" s="5" t="s">
        <v>25</v>
      </c>
      <c r="C28" s="134" t="s">
        <v>25</v>
      </c>
      <c r="D28" s="12"/>
      <c r="E28" s="13">
        <f>VLOOKUP(A28,'IS Xero'!A:C,2,0)</f>
        <v>0</v>
      </c>
      <c r="F28" s="114">
        <f t="shared" si="20"/>
        <v>0</v>
      </c>
      <c r="G28" s="121"/>
      <c r="H28" s="12"/>
      <c r="I28" s="13">
        <f>VLOOKUP(A28,'IS Xero'!A:C,3,0)</f>
        <v>160.80000000000001</v>
      </c>
      <c r="J28" s="114">
        <f t="shared" si="21"/>
        <v>5.597424071012097E-2</v>
      </c>
      <c r="K28" s="121"/>
      <c r="L28" s="12"/>
      <c r="M28" s="13">
        <f>VLOOKUP(A28,'IS Xero'!A:F,4,0)</f>
        <v>0</v>
      </c>
      <c r="N28" s="114">
        <f t="shared" si="22"/>
        <v>0</v>
      </c>
      <c r="O28" s="121"/>
      <c r="P28" s="12"/>
      <c r="Q28" s="13">
        <f>VLOOKUP(A28,'IS Xero'!A:I,5,0)</f>
        <v>0</v>
      </c>
      <c r="R28" s="114">
        <f t="shared" si="23"/>
        <v>0</v>
      </c>
      <c r="S28" s="121"/>
      <c r="T28" s="158"/>
      <c r="U28" s="12"/>
      <c r="V28" s="13">
        <f t="shared" si="24"/>
        <v>160.80000000000001</v>
      </c>
      <c r="W28" s="114">
        <f t="shared" si="25"/>
        <v>1.12336394406933E-2</v>
      </c>
      <c r="X28" s="50"/>
      <c r="Y28" s="12"/>
      <c r="Z28" s="13">
        <f>VLOOKUP(A28,'IS Xero'!A:F,6,0)</f>
        <v>160.80000000000001</v>
      </c>
      <c r="AA28" s="114">
        <f t="shared" si="28"/>
        <v>9.3276060594634884E-3</v>
      </c>
      <c r="AB28" s="50"/>
    </row>
    <row r="29" spans="1:28" ht="15" x14ac:dyDescent="0.2">
      <c r="A29" s="5" t="s">
        <v>4</v>
      </c>
      <c r="C29" s="134" t="s">
        <v>4</v>
      </c>
      <c r="D29" s="12"/>
      <c r="E29" s="13">
        <f>VLOOKUP(A29,'IS Xero'!A:C,2,0)</f>
        <v>0</v>
      </c>
      <c r="F29" s="114">
        <f t="shared" si="20"/>
        <v>0</v>
      </c>
      <c r="G29" s="121"/>
      <c r="H29" s="12"/>
      <c r="I29" s="13">
        <f>VLOOKUP(A29,'IS Xero'!A:C,3,0)</f>
        <v>307.89999999999998</v>
      </c>
      <c r="J29" s="114">
        <f t="shared" si="21"/>
        <v>0.10717953180750152</v>
      </c>
      <c r="K29" s="121"/>
      <c r="L29" s="12"/>
      <c r="M29" s="13">
        <f>VLOOKUP(A29,'IS Xero'!A:F,4,0)</f>
        <v>37</v>
      </c>
      <c r="N29" s="114">
        <f t="shared" si="22"/>
        <v>1.2168050645399983E-2</v>
      </c>
      <c r="O29" s="121"/>
      <c r="P29" s="12"/>
      <c r="Q29" s="13">
        <f>VLOOKUP(A29,'IS Xero'!A:I,5,0)</f>
        <v>33.4</v>
      </c>
      <c r="R29" s="114">
        <f t="shared" si="23"/>
        <v>1.2675521821631877E-2</v>
      </c>
      <c r="S29" s="121"/>
      <c r="T29" s="158"/>
      <c r="U29" s="12"/>
      <c r="V29" s="13">
        <f t="shared" si="24"/>
        <v>398.3</v>
      </c>
      <c r="W29" s="114">
        <f t="shared" si="25"/>
        <v>2.782561311709043E-2</v>
      </c>
      <c r="X29" s="50"/>
      <c r="Y29" s="12"/>
      <c r="Z29" s="13">
        <f>VLOOKUP(A29,'IS Xero'!A:F,6,0)</f>
        <v>398.3</v>
      </c>
      <c r="AA29" s="114">
        <f t="shared" si="28"/>
        <v>2.3104387397290468E-2</v>
      </c>
      <c r="AB29" s="50"/>
    </row>
    <row r="30" spans="1:28" ht="15" x14ac:dyDescent="0.2">
      <c r="A30" s="5" t="s">
        <v>100</v>
      </c>
      <c r="C30" s="134" t="s">
        <v>100</v>
      </c>
      <c r="D30" s="12"/>
      <c r="E30" s="13">
        <f>VLOOKUP(A30,'IS Xero'!A:C,2,0)</f>
        <v>328</v>
      </c>
      <c r="F30" s="114">
        <f t="shared" si="20"/>
        <v>0.11213675213675214</v>
      </c>
      <c r="G30" s="121"/>
      <c r="H30" s="12"/>
      <c r="I30" s="13">
        <f>VLOOKUP(A30,'IS Xero'!A:C,3,0)</f>
        <v>74.09</v>
      </c>
      <c r="J30" s="114">
        <f t="shared" si="21"/>
        <v>2.5790618745104864E-2</v>
      </c>
      <c r="K30" s="121"/>
      <c r="L30" s="12"/>
      <c r="M30" s="13">
        <f>VLOOKUP(A30,'IS Xero'!A:F,4,0)</f>
        <v>12.05</v>
      </c>
      <c r="N30" s="114">
        <f t="shared" si="22"/>
        <v>3.9628381155964809E-3</v>
      </c>
      <c r="O30" s="121"/>
      <c r="P30" s="12"/>
      <c r="Q30" s="13">
        <f>VLOOKUP(A30,'IS Xero'!A:I,5,0)</f>
        <v>51.67</v>
      </c>
      <c r="R30" s="114">
        <f t="shared" si="23"/>
        <v>1.9609108159392791E-2</v>
      </c>
      <c r="S30" s="121"/>
      <c r="T30" s="158"/>
      <c r="U30" s="12"/>
      <c r="V30" s="13">
        <f t="shared" si="24"/>
        <v>137.81</v>
      </c>
      <c r="W30" s="114">
        <f t="shared" si="25"/>
        <v>9.6275363888180567E-3</v>
      </c>
      <c r="X30" s="50"/>
      <c r="Y30" s="12"/>
      <c r="Z30" s="13">
        <f>VLOOKUP(A30,'IS Xero'!A:F,6,0)</f>
        <v>465.81</v>
      </c>
      <c r="AA30" s="114">
        <f t="shared" si="28"/>
        <v>2.7020473747255518E-2</v>
      </c>
      <c r="AB30" s="50"/>
    </row>
    <row r="31" spans="1:28" ht="15" x14ac:dyDescent="0.2">
      <c r="A31" s="5" t="s">
        <v>58</v>
      </c>
      <c r="C31" s="134" t="s">
        <v>58</v>
      </c>
      <c r="D31" s="12"/>
      <c r="E31" s="13">
        <f>VLOOKUP(A31,'IS Xero'!A:C,2,0)</f>
        <v>0</v>
      </c>
      <c r="F31" s="114">
        <f t="shared" si="20"/>
        <v>0</v>
      </c>
      <c r="G31" s="121"/>
      <c r="H31" s="12"/>
      <c r="I31" s="13">
        <f>VLOOKUP(A31,'IS Xero'!A:C,3,0)</f>
        <v>322</v>
      </c>
      <c r="J31" s="114">
        <f t="shared" si="21"/>
        <v>0.11208772082499348</v>
      </c>
      <c r="K31" s="121"/>
      <c r="L31" s="12"/>
      <c r="M31" s="13">
        <f>VLOOKUP(A31,'IS Xero'!A:F,4,0)</f>
        <v>0</v>
      </c>
      <c r="N31" s="114">
        <f t="shared" si="22"/>
        <v>0</v>
      </c>
      <c r="O31" s="121"/>
      <c r="P31" s="12"/>
      <c r="Q31" s="13">
        <f>VLOOKUP(A31,'IS Xero'!A:I,5,0)</f>
        <v>0</v>
      </c>
      <c r="R31" s="114">
        <f t="shared" si="23"/>
        <v>0</v>
      </c>
      <c r="S31" s="121"/>
      <c r="T31" s="158"/>
      <c r="U31" s="12"/>
      <c r="V31" s="13">
        <f t="shared" si="24"/>
        <v>322</v>
      </c>
      <c r="W31" s="114">
        <f t="shared" si="25"/>
        <v>2.2495223258104741E-2</v>
      </c>
      <c r="X31" s="50"/>
      <c r="Y31" s="12"/>
      <c r="Z31" s="13">
        <f>VLOOKUP(A31,'IS Xero'!A:F,6,0)</f>
        <v>322</v>
      </c>
      <c r="AA31" s="114">
        <f t="shared" si="28"/>
        <v>1.8678415119074896E-2</v>
      </c>
      <c r="AB31" s="50"/>
    </row>
    <row r="32" spans="1:28" s="37" customFormat="1" ht="15.75" x14ac:dyDescent="0.25">
      <c r="C32" s="133" t="s">
        <v>31</v>
      </c>
      <c r="D32" s="77"/>
      <c r="E32" s="54">
        <f>SUM(E20:E31)</f>
        <v>805.64</v>
      </c>
      <c r="F32" s="114">
        <f t="shared" si="20"/>
        <v>0.27543247863247861</v>
      </c>
      <c r="G32" s="116"/>
      <c r="H32" s="77"/>
      <c r="I32" s="54">
        <f>SUM(I20:I31)</f>
        <v>1816.3799999999999</v>
      </c>
      <c r="J32" s="114">
        <f t="shared" si="21"/>
        <v>0.63227917500652686</v>
      </c>
      <c r="K32" s="116"/>
      <c r="L32" s="77"/>
      <c r="M32" s="54">
        <f>SUM(M20:M31)</f>
        <v>537.57999999999993</v>
      </c>
      <c r="N32" s="114">
        <f t="shared" si="22"/>
        <v>0.17679190989065197</v>
      </c>
      <c r="O32" s="116"/>
      <c r="P32" s="77"/>
      <c r="Q32" s="54">
        <f>SUM(Q20:Q31)</f>
        <v>621.20999999999992</v>
      </c>
      <c r="R32" s="114">
        <f t="shared" si="23"/>
        <v>0.23575332068311192</v>
      </c>
      <c r="S32" s="116"/>
      <c r="T32" s="156"/>
      <c r="U32" s="77"/>
      <c r="V32" s="54">
        <f>SUM(V20:V31)</f>
        <v>3950.8900000000003</v>
      </c>
      <c r="W32" s="114">
        <f t="shared" si="25"/>
        <v>0.27601289632985543</v>
      </c>
      <c r="X32" s="117"/>
      <c r="Y32" s="77"/>
      <c r="Z32" s="54">
        <f>SUM(Z20:Z31)</f>
        <v>4756.5300000000007</v>
      </c>
      <c r="AA32" s="114">
        <f>Z32/$Z$8</f>
        <v>0.27591441573395442</v>
      </c>
      <c r="AB32" s="117"/>
    </row>
    <row r="33" spans="1:28" x14ac:dyDescent="0.2">
      <c r="C33" s="135"/>
      <c r="D33" s="21"/>
      <c r="E33" s="122"/>
      <c r="F33" s="123"/>
      <c r="G33" s="23"/>
      <c r="H33" s="21"/>
      <c r="I33" s="122"/>
      <c r="J33" s="123"/>
      <c r="K33" s="23"/>
      <c r="L33" s="21"/>
      <c r="M33" s="122"/>
      <c r="N33" s="123"/>
      <c r="O33" s="23"/>
      <c r="P33" s="21"/>
      <c r="Q33" s="122"/>
      <c r="R33" s="123"/>
      <c r="S33" s="23"/>
      <c r="T33" s="159"/>
      <c r="U33" s="21"/>
      <c r="V33" s="122"/>
      <c r="W33" s="123"/>
      <c r="X33" s="23"/>
      <c r="Y33" s="21"/>
      <c r="Z33" s="122"/>
      <c r="AA33" s="123"/>
      <c r="AB33" s="23"/>
    </row>
    <row r="34" spans="1:28" ht="15.75" x14ac:dyDescent="0.25">
      <c r="C34" s="136" t="s">
        <v>71</v>
      </c>
      <c r="D34" s="144"/>
      <c r="E34" s="147">
        <f>+E17-E32</f>
        <v>178.61</v>
      </c>
      <c r="F34" s="145">
        <f>E34/E$8</f>
        <v>6.106324786324787E-2</v>
      </c>
      <c r="G34" s="146"/>
      <c r="H34" s="144"/>
      <c r="I34" s="147">
        <f>+I17-I32</f>
        <v>-1625.8699999999997</v>
      </c>
      <c r="J34" s="145">
        <f>I34/I$8</f>
        <v>-0.56596292750848476</v>
      </c>
      <c r="K34" s="146"/>
      <c r="L34" s="144"/>
      <c r="M34" s="147">
        <f>+M17-M32</f>
        <v>869.17000000000007</v>
      </c>
      <c r="N34" s="145">
        <f>M34/M$8</f>
        <v>0.28584066430979199</v>
      </c>
      <c r="O34" s="146"/>
      <c r="P34" s="144"/>
      <c r="Q34" s="147" t="e">
        <f>+Q32+#REF!+Q17</f>
        <v>#REF!</v>
      </c>
      <c r="R34" s="145" t="e">
        <f>Q34/Q$8</f>
        <v>#REF!</v>
      </c>
      <c r="S34" s="146"/>
      <c r="T34" s="159"/>
      <c r="U34" s="144"/>
      <c r="V34" s="147" t="e">
        <f>+V32+#REF!+V17</f>
        <v>#REF!</v>
      </c>
      <c r="W34" s="145" t="e">
        <f>V34/V$8</f>
        <v>#REF!</v>
      </c>
      <c r="X34" s="146"/>
      <c r="Y34" s="144"/>
      <c r="Z34" s="147">
        <f>+Z17-Z32</f>
        <v>869.28000000000065</v>
      </c>
      <c r="AA34" s="145">
        <f>Z34/$Z$8</f>
        <v>5.0424759921457875E-2</v>
      </c>
      <c r="AB34" s="146"/>
    </row>
    <row r="35" spans="1:28" x14ac:dyDescent="0.2">
      <c r="C35" s="135"/>
      <c r="D35" s="21"/>
      <c r="E35" s="122"/>
      <c r="F35" s="123"/>
      <c r="G35" s="23"/>
      <c r="H35" s="21"/>
      <c r="I35" s="122"/>
      <c r="J35" s="123"/>
      <c r="K35" s="23"/>
      <c r="L35" s="21"/>
      <c r="M35" s="122"/>
      <c r="N35" s="123"/>
      <c r="O35" s="23"/>
      <c r="P35" s="21"/>
      <c r="Q35" s="122"/>
      <c r="R35" s="123"/>
      <c r="S35" s="23"/>
      <c r="T35" s="159"/>
      <c r="U35" s="21"/>
      <c r="V35" s="122"/>
      <c r="W35" s="123"/>
      <c r="X35" s="23"/>
      <c r="Y35" s="21"/>
      <c r="Z35" s="122"/>
      <c r="AA35" s="123"/>
      <c r="AB35" s="23"/>
    </row>
    <row r="36" spans="1:28" ht="15" x14ac:dyDescent="0.2">
      <c r="A36" s="5" t="s">
        <v>67</v>
      </c>
      <c r="C36" s="135" t="s">
        <v>72</v>
      </c>
      <c r="D36" s="21"/>
      <c r="E36" s="13">
        <f>VLOOKUP(A36,'IS Xero'!A:C,2,0)</f>
        <v>0</v>
      </c>
      <c r="F36" s="114">
        <f>E36/E$8</f>
        <v>0</v>
      </c>
      <c r="G36" s="115"/>
      <c r="H36" s="21"/>
      <c r="I36" s="13">
        <f>VLOOKUP(A36,'IS Xero'!A:C,3,0)</f>
        <v>0</v>
      </c>
      <c r="J36" s="114">
        <f>I36/I$8</f>
        <v>0</v>
      </c>
      <c r="K36" s="115"/>
      <c r="L36" s="21"/>
      <c r="M36" s="13">
        <f>VLOOKUP(A36,'IS Xero'!A:F,4,0)</f>
        <v>3</v>
      </c>
      <c r="N36" s="114">
        <f>M36/M$8</f>
        <v>9.8659870097837711E-4</v>
      </c>
      <c r="O36" s="115"/>
      <c r="P36" s="21"/>
      <c r="Q36" s="13">
        <f>VLOOKUP(A36,'IS Xero'!A:I,5,0)</f>
        <v>0</v>
      </c>
      <c r="R36" s="114">
        <f>Q36/Q$8</f>
        <v>0</v>
      </c>
      <c r="S36" s="115"/>
      <c r="T36" s="157"/>
      <c r="U36" s="9"/>
      <c r="V36" s="13">
        <f>+Z36-E36</f>
        <v>3</v>
      </c>
      <c r="W36" s="114">
        <f>V36/V$8</f>
        <v>2.0958282538606899E-4</v>
      </c>
      <c r="X36" s="23"/>
      <c r="Y36" s="9"/>
      <c r="Z36" s="13">
        <f>VLOOKUP(A36,'IS Xero'!A:F,6,0)</f>
        <v>3</v>
      </c>
      <c r="AA36" s="114">
        <f t="shared" ref="AA36" si="29">Z36/$Z$8</f>
        <v>1.7402250110939342E-4</v>
      </c>
      <c r="AB36" s="23"/>
    </row>
    <row r="37" spans="1:28" x14ac:dyDescent="0.2">
      <c r="C37" s="135"/>
      <c r="D37" s="21"/>
      <c r="E37" s="122"/>
      <c r="F37" s="123"/>
      <c r="G37" s="23"/>
      <c r="H37" s="21"/>
      <c r="I37" s="122"/>
      <c r="J37" s="123"/>
      <c r="K37" s="23"/>
      <c r="L37" s="21"/>
      <c r="M37" s="122"/>
      <c r="N37" s="123"/>
      <c r="O37" s="23"/>
      <c r="P37" s="21"/>
      <c r="Q37" s="122"/>
      <c r="R37" s="123"/>
      <c r="S37" s="23"/>
      <c r="T37" s="159"/>
      <c r="U37" s="21"/>
      <c r="V37" s="122"/>
      <c r="W37" s="123"/>
      <c r="X37" s="23"/>
      <c r="Y37" s="21"/>
      <c r="Z37" s="122"/>
      <c r="AA37" s="123"/>
      <c r="AB37" s="23"/>
    </row>
    <row r="38" spans="1:28" s="124" customFormat="1" ht="16.5" thickBot="1" x14ac:dyDescent="0.3">
      <c r="C38" s="136" t="s">
        <v>73</v>
      </c>
      <c r="D38" s="125"/>
      <c r="E38" s="126">
        <f>+E34+E36</f>
        <v>178.61</v>
      </c>
      <c r="F38" s="127">
        <f>E38/E$8</f>
        <v>6.106324786324787E-2</v>
      </c>
      <c r="G38" s="128"/>
      <c r="H38" s="125"/>
      <c r="I38" s="126">
        <f>+I34+I36</f>
        <v>-1625.8699999999997</v>
      </c>
      <c r="J38" s="127">
        <f>I38/I$8</f>
        <v>-0.56596292750848476</v>
      </c>
      <c r="K38" s="128"/>
      <c r="L38" s="125"/>
      <c r="M38" s="126">
        <f>+M34+M36</f>
        <v>872.17000000000007</v>
      </c>
      <c r="N38" s="127">
        <f>M38/M$8</f>
        <v>0.28682726301077038</v>
      </c>
      <c r="O38" s="128"/>
      <c r="P38" s="125"/>
      <c r="Q38" s="126" t="e">
        <f>+Q34+Q36</f>
        <v>#REF!</v>
      </c>
      <c r="R38" s="127" t="e">
        <f>Q38/Q$8</f>
        <v>#REF!</v>
      </c>
      <c r="S38" s="128"/>
      <c r="T38" s="160"/>
      <c r="U38" s="125"/>
      <c r="V38" s="126" t="e">
        <f>+V34+V36</f>
        <v>#REF!</v>
      </c>
      <c r="W38" s="127" t="e">
        <f>V38/V$8</f>
        <v>#REF!</v>
      </c>
      <c r="X38" s="128"/>
      <c r="Y38" s="125"/>
      <c r="Z38" s="126">
        <f>+Z34+Z36</f>
        <v>872.28000000000065</v>
      </c>
      <c r="AA38" s="127">
        <f>Z38/$Z$8</f>
        <v>5.0598782422567275E-2</v>
      </c>
      <c r="AB38" s="128"/>
    </row>
    <row r="39" spans="1:28" ht="15.75" thickTop="1" thickBot="1" x14ac:dyDescent="0.25">
      <c r="C39" s="129"/>
      <c r="D39" s="26"/>
      <c r="E39" s="130"/>
      <c r="F39" s="131"/>
      <c r="G39" s="28"/>
      <c r="H39" s="26"/>
      <c r="I39" s="130"/>
      <c r="J39" s="131"/>
      <c r="K39" s="28"/>
      <c r="L39" s="26"/>
      <c r="M39" s="130"/>
      <c r="N39" s="131"/>
      <c r="O39" s="28"/>
      <c r="P39" s="26"/>
      <c r="Q39" s="130"/>
      <c r="R39" s="131"/>
      <c r="S39" s="28"/>
      <c r="T39" s="159"/>
      <c r="U39" s="26"/>
      <c r="V39" s="130"/>
      <c r="W39" s="27"/>
      <c r="X39" s="28"/>
      <c r="Y39" s="26"/>
      <c r="Z39" s="130"/>
      <c r="AA39" s="27"/>
      <c r="AB39" s="28"/>
    </row>
    <row r="40" spans="1:28" ht="15" thickTop="1" x14ac:dyDescent="0.2"/>
    <row r="41" spans="1:28" x14ac:dyDescent="0.2">
      <c r="E41" s="97">
        <f>E38-'IS Xero'!B36</f>
        <v>0</v>
      </c>
      <c r="I41" s="97">
        <f>+I38-'IS Xero'!C36</f>
        <v>0</v>
      </c>
      <c r="M41" s="97">
        <f>+M38-'IS Xero'!D36</f>
        <v>0</v>
      </c>
      <c r="Q41" s="97" t="e">
        <f>+Q38-'IS Xero'!E51</f>
        <v>#REF!</v>
      </c>
      <c r="V41" s="148"/>
      <c r="Z41" s="148">
        <f>+Z38-'IS Xero'!F36</f>
        <v>0</v>
      </c>
    </row>
  </sheetData>
  <sortState ref="C21:AA31">
    <sortCondition ref="C21"/>
  </sortState>
  <mergeCells count="9">
    <mergeCell ref="Z6:AA6"/>
    <mergeCell ref="E6:F6"/>
    <mergeCell ref="M6:N6"/>
    <mergeCell ref="Q6:R6"/>
    <mergeCell ref="C1:U1"/>
    <mergeCell ref="C2:U2"/>
    <mergeCell ref="C3:U3"/>
    <mergeCell ref="V6:W6"/>
    <mergeCell ref="I6:J6"/>
  </mergeCells>
  <printOptions horizontalCentered="1"/>
  <pageMargins left="0.45" right="0.45" top="0.75" bottom="0.75" header="0.3" footer="0.3"/>
  <pageSetup paperSize="9" scale="66" orientation="portrait" r:id="rId1"/>
  <headerFooter>
    <oddFooter xml:space="preserve">&amp;L           &amp;A          &amp;D&amp;Cby &amp;"-,Bold"&amp;12&amp;K003366Partner&amp;"-,Regular"&amp;11&amp;K0070C0plus&amp;"-,Bold"&amp;12&amp;X&amp;K00FF00+&amp;RPage &amp;P of &amp;N        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83"/>
  <sheetViews>
    <sheetView tabSelected="1" view="pageBreakPreview" zoomScaleNormal="85" zoomScaleSheetLayoutView="100" workbookViewId="0">
      <selection activeCell="P33" sqref="P33"/>
    </sheetView>
  </sheetViews>
  <sheetFormatPr defaultRowHeight="14.25" x14ac:dyDescent="0.2"/>
  <cols>
    <col min="1" max="1" width="14.5703125" style="17" customWidth="1"/>
    <col min="2" max="2" width="15.28515625" style="17" customWidth="1"/>
    <col min="3" max="3" width="10" style="17" bestFit="1" customWidth="1"/>
    <col min="4" max="4" width="10.7109375" style="17" customWidth="1"/>
    <col min="5" max="5" width="10.42578125" style="17" bestFit="1" customWidth="1"/>
    <col min="6" max="6" width="10.5703125" style="17" customWidth="1"/>
    <col min="7" max="7" width="11.85546875" style="17" bestFit="1" customWidth="1"/>
    <col min="8" max="11" width="9.140625" style="17"/>
    <col min="12" max="12" width="13.140625" style="17" bestFit="1" customWidth="1"/>
    <col min="13" max="13" width="9.85546875" style="17" bestFit="1" customWidth="1"/>
    <col min="14" max="14" width="8.7109375" style="17" bestFit="1" customWidth="1"/>
    <col min="15" max="15" width="9.85546875" style="17" bestFit="1" customWidth="1"/>
    <col min="16" max="16384" width="9.140625" style="17"/>
  </cols>
  <sheetData>
    <row r="1" spans="1:14" ht="29.25" customHeight="1" x14ac:dyDescent="0.35">
      <c r="A1" s="174" t="str">
        <f>'Top page'!G24</f>
        <v>ABC COMPANY</v>
      </c>
      <c r="B1" s="149"/>
      <c r="D1" s="149"/>
      <c r="E1" s="149"/>
      <c r="F1" s="149"/>
      <c r="G1" s="149"/>
      <c r="H1" s="149"/>
      <c r="I1" s="204"/>
      <c r="J1" s="204"/>
    </row>
    <row r="2" spans="1:14" ht="18" x14ac:dyDescent="0.25">
      <c r="A2" s="215" t="s">
        <v>61</v>
      </c>
      <c r="B2" s="215"/>
      <c r="C2" s="215"/>
      <c r="I2" s="204"/>
      <c r="J2" s="204"/>
    </row>
    <row r="3" spans="1:14" ht="4.5" customHeight="1" x14ac:dyDescent="0.2">
      <c r="I3" s="204"/>
      <c r="J3" s="204"/>
    </row>
    <row r="4" spans="1:14" ht="4.5" customHeight="1" x14ac:dyDescent="0.2"/>
    <row r="5" spans="1:14" ht="22.5" customHeight="1" x14ac:dyDescent="0.2"/>
    <row r="6" spans="1:14" ht="15" x14ac:dyDescent="0.25">
      <c r="A6" s="37" t="s">
        <v>62</v>
      </c>
    </row>
    <row r="7" spans="1:14" ht="15" customHeight="1" x14ac:dyDescent="0.2">
      <c r="A7" s="216" t="s">
        <v>147</v>
      </c>
      <c r="B7" s="216"/>
      <c r="C7" s="216"/>
      <c r="D7" s="216"/>
      <c r="E7" s="216"/>
      <c r="F7" s="216"/>
      <c r="G7" s="216"/>
      <c r="H7" s="216"/>
      <c r="I7" s="216"/>
      <c r="J7" s="216"/>
      <c r="K7" s="165"/>
    </row>
    <row r="8" spans="1:14" ht="15" customHeight="1" x14ac:dyDescent="0.2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165"/>
    </row>
    <row r="9" spans="1:14" ht="15" customHeight="1" x14ac:dyDescent="0.2">
      <c r="A9" s="216"/>
      <c r="B9" s="216"/>
      <c r="C9" s="216"/>
      <c r="D9" s="216"/>
      <c r="E9" s="216"/>
      <c r="F9" s="216"/>
      <c r="G9" s="216"/>
      <c r="H9" s="216"/>
      <c r="I9" s="216"/>
      <c r="J9" s="216"/>
      <c r="K9" s="165"/>
    </row>
    <row r="10" spans="1:14" x14ac:dyDescent="0.2">
      <c r="A10" s="164"/>
      <c r="B10" s="164"/>
      <c r="E10" s="90"/>
      <c r="F10" s="165"/>
      <c r="G10" s="165"/>
      <c r="H10" s="165"/>
      <c r="I10" s="165"/>
      <c r="J10" s="165"/>
      <c r="K10" s="165"/>
    </row>
    <row r="11" spans="1:14" x14ac:dyDescent="0.2">
      <c r="A11" s="164"/>
      <c r="B11" s="164"/>
      <c r="F11" s="165"/>
      <c r="G11" s="165"/>
      <c r="H11" s="165"/>
      <c r="I11" s="165"/>
      <c r="J11" s="165"/>
      <c r="K11" s="165"/>
    </row>
    <row r="12" spans="1:14" x14ac:dyDescent="0.2">
      <c r="A12" s="164"/>
      <c r="B12" s="164"/>
      <c r="F12" s="165"/>
      <c r="G12" s="165"/>
      <c r="H12" s="165"/>
      <c r="I12" s="165"/>
      <c r="J12" s="165"/>
      <c r="K12" s="165"/>
    </row>
    <row r="13" spans="1:14" x14ac:dyDescent="0.2">
      <c r="A13" s="164"/>
      <c r="B13" s="164"/>
      <c r="F13" s="165"/>
      <c r="G13" s="165"/>
      <c r="H13" s="165"/>
      <c r="I13" s="165"/>
      <c r="J13" s="165"/>
      <c r="K13" s="165"/>
    </row>
    <row r="14" spans="1:14" x14ac:dyDescent="0.2">
      <c r="A14" s="164"/>
      <c r="B14" s="164"/>
      <c r="E14" s="93"/>
      <c r="F14" s="161"/>
      <c r="G14" s="161"/>
      <c r="H14" s="161"/>
      <c r="I14" s="161"/>
      <c r="J14" s="161"/>
      <c r="K14" s="161"/>
    </row>
    <row r="15" spans="1:14" x14ac:dyDescent="0.2">
      <c r="A15" s="164"/>
      <c r="B15" s="164"/>
    </row>
    <row r="16" spans="1:14" x14ac:dyDescent="0.2">
      <c r="A16" s="164"/>
      <c r="B16" s="164"/>
      <c r="N16" s="90"/>
    </row>
    <row r="17" spans="1:15" x14ac:dyDescent="0.2">
      <c r="A17" s="164"/>
      <c r="B17" s="164"/>
    </row>
    <row r="18" spans="1:15" ht="14.25" customHeight="1" x14ac:dyDescent="0.2">
      <c r="A18" s="164"/>
      <c r="B18" s="164"/>
    </row>
    <row r="19" spans="1:15" x14ac:dyDescent="0.2">
      <c r="L19" s="17">
        <v>757.5</v>
      </c>
      <c r="M19" s="17">
        <v>871</v>
      </c>
      <c r="N19" s="17">
        <v>878.25</v>
      </c>
      <c r="O19" s="17">
        <v>366</v>
      </c>
    </row>
    <row r="20" spans="1:15" x14ac:dyDescent="0.2">
      <c r="L20" s="17">
        <v>669.5</v>
      </c>
      <c r="M20" s="17">
        <v>834.5</v>
      </c>
      <c r="N20" s="17">
        <v>642.5</v>
      </c>
      <c r="O20" s="17">
        <v>894.25</v>
      </c>
    </row>
    <row r="23" spans="1:15" x14ac:dyDescent="0.2">
      <c r="M23" s="17" t="s">
        <v>144</v>
      </c>
      <c r="N23" s="17" t="s">
        <v>145</v>
      </c>
      <c r="O23" s="17" t="s">
        <v>146</v>
      </c>
    </row>
    <row r="24" spans="1:15" ht="15" customHeight="1" x14ac:dyDescent="0.25">
      <c r="B24" s="94" t="s">
        <v>88</v>
      </c>
      <c r="C24" s="94"/>
      <c r="D24" s="94"/>
      <c r="E24" s="94"/>
      <c r="F24" s="94"/>
      <c r="G24" s="94"/>
      <c r="H24" s="217" t="s">
        <v>89</v>
      </c>
      <c r="M24" s="173">
        <v>1058</v>
      </c>
      <c r="N24" s="17">
        <v>722.65</v>
      </c>
      <c r="O24" s="173">
        <v>1488</v>
      </c>
    </row>
    <row r="25" spans="1:15" ht="15" x14ac:dyDescent="0.25">
      <c r="B25" s="88" t="s">
        <v>85</v>
      </c>
      <c r="C25" s="166" t="s">
        <v>123</v>
      </c>
      <c r="D25" s="166" t="s">
        <v>124</v>
      </c>
      <c r="E25" s="166" t="s">
        <v>125</v>
      </c>
      <c r="F25" s="166" t="s">
        <v>126</v>
      </c>
      <c r="G25" s="167" t="s">
        <v>86</v>
      </c>
      <c r="H25" s="218"/>
      <c r="M25" s="173">
        <v>1092</v>
      </c>
      <c r="N25" s="17">
        <v>477</v>
      </c>
      <c r="O25" s="17">
        <v>928</v>
      </c>
    </row>
    <row r="26" spans="1:15" x14ac:dyDescent="0.2">
      <c r="B26" s="168">
        <v>42766</v>
      </c>
      <c r="C26" s="89">
        <v>776.15</v>
      </c>
      <c r="D26" s="89">
        <v>794.5</v>
      </c>
      <c r="E26" s="89">
        <v>821</v>
      </c>
      <c r="F26" s="172">
        <v>877</v>
      </c>
      <c r="G26" s="89">
        <f>SUM(C26:F26)</f>
        <v>3268.65</v>
      </c>
      <c r="H26" s="90">
        <v>0</v>
      </c>
      <c r="M26" s="17">
        <v>899.5</v>
      </c>
      <c r="N26" s="17">
        <v>587</v>
      </c>
      <c r="O26" s="173">
        <v>1148.5</v>
      </c>
    </row>
    <row r="27" spans="1:15" ht="14.25" customHeight="1" x14ac:dyDescent="0.2">
      <c r="B27" s="168">
        <v>42794</v>
      </c>
      <c r="C27" s="89">
        <v>610</v>
      </c>
      <c r="D27" s="89">
        <v>670</v>
      </c>
      <c r="E27" s="89">
        <v>514</v>
      </c>
      <c r="F27" s="172">
        <v>703</v>
      </c>
      <c r="G27" s="89">
        <f t="shared" ref="G27:G28" si="0">SUM(C27:F27)</f>
        <v>2497</v>
      </c>
      <c r="H27" s="170">
        <f>+G27/G26-1</f>
        <v>-0.23607605586404179</v>
      </c>
      <c r="M27" s="17">
        <v>699.5</v>
      </c>
      <c r="N27" s="17">
        <v>777.75</v>
      </c>
      <c r="O27" s="173">
        <v>1563.5</v>
      </c>
    </row>
    <row r="28" spans="1:15" ht="14.25" customHeight="1" x14ac:dyDescent="0.2">
      <c r="B28" s="168">
        <v>42825</v>
      </c>
      <c r="C28" s="89">
        <v>735</v>
      </c>
      <c r="D28" s="89">
        <v>859.5</v>
      </c>
      <c r="E28" s="89">
        <v>185.5</v>
      </c>
      <c r="F28" s="172">
        <v>855</v>
      </c>
      <c r="G28" s="89">
        <f t="shared" si="0"/>
        <v>2635</v>
      </c>
      <c r="H28" s="170">
        <f>+G28/G27-1</f>
        <v>5.5266319583500145E-2</v>
      </c>
      <c r="M28" s="17">
        <v>790.25</v>
      </c>
      <c r="N28" s="17">
        <v>535.5</v>
      </c>
      <c r="O28" s="173">
        <v>1547</v>
      </c>
    </row>
    <row r="29" spans="1:15" ht="14.25" customHeight="1" x14ac:dyDescent="0.2">
      <c r="B29" s="168">
        <v>42855</v>
      </c>
      <c r="C29" s="89">
        <v>669.5</v>
      </c>
      <c r="D29" s="89">
        <v>834.5</v>
      </c>
      <c r="E29" s="89">
        <v>642.5</v>
      </c>
      <c r="F29" s="172">
        <v>894.25</v>
      </c>
      <c r="G29" s="89">
        <f>SUM(C29:F29)</f>
        <v>3040.75</v>
      </c>
      <c r="H29" s="170">
        <f>+G29/G28-1</f>
        <v>0.15398481973434541</v>
      </c>
      <c r="M29" s="17">
        <v>842.5</v>
      </c>
      <c r="N29" s="17">
        <v>575</v>
      </c>
      <c r="O29" s="173">
        <v>1507.5</v>
      </c>
    </row>
    <row r="30" spans="1:15" ht="14.25" customHeight="1" x14ac:dyDescent="0.2">
      <c r="B30" s="168">
        <v>42886</v>
      </c>
      <c r="C30" s="89">
        <v>757.5</v>
      </c>
      <c r="D30" s="89">
        <v>871</v>
      </c>
      <c r="E30" s="89">
        <v>878.25</v>
      </c>
      <c r="F30" s="172">
        <v>366</v>
      </c>
      <c r="G30" s="89">
        <f>SUM(C30:F30)</f>
        <v>2872.75</v>
      </c>
      <c r="H30" s="170">
        <f>+G30/G29-1</f>
        <v>-5.5249527254789155E-2</v>
      </c>
      <c r="K30" s="169"/>
      <c r="L30" s="169"/>
    </row>
    <row r="31" spans="1:15" ht="14.25" customHeight="1" x14ac:dyDescent="0.2">
      <c r="B31" s="168">
        <v>42916</v>
      </c>
      <c r="C31" s="89">
        <v>790.5</v>
      </c>
      <c r="D31" s="89">
        <v>835.5</v>
      </c>
      <c r="E31" s="89">
        <v>846.5</v>
      </c>
      <c r="F31" s="172">
        <v>452.5</v>
      </c>
      <c r="G31" s="89">
        <f>SUM(C31:F31)</f>
        <v>2925</v>
      </c>
      <c r="H31" s="170">
        <f>+G31/G30-1</f>
        <v>1.8188147245670416E-2</v>
      </c>
      <c r="K31" s="169"/>
      <c r="L31" s="169"/>
    </row>
    <row r="32" spans="1:15" ht="15.75" thickBot="1" x14ac:dyDescent="0.3">
      <c r="B32" s="91" t="s">
        <v>86</v>
      </c>
      <c r="C32" s="92">
        <f>SUM(C26:C31)</f>
        <v>4338.6499999999996</v>
      </c>
      <c r="D32" s="92">
        <f>SUM(D26:D31)</f>
        <v>4865</v>
      </c>
      <c r="E32" s="92">
        <f>SUM(E26:E31)</f>
        <v>3887.75</v>
      </c>
      <c r="F32" s="92">
        <f>SUM(F26:F31)</f>
        <v>4147.75</v>
      </c>
      <c r="G32" s="92">
        <f>SUM(G26:G31)</f>
        <v>17239.150000000001</v>
      </c>
      <c r="K32" s="93"/>
      <c r="L32" s="93"/>
    </row>
    <row r="33" spans="2:14" ht="15.75" thickTop="1" x14ac:dyDescent="0.25">
      <c r="B33" s="37" t="s">
        <v>87</v>
      </c>
      <c r="C33" s="171">
        <f>+C32/$G$32</f>
        <v>0.25167424147942324</v>
      </c>
      <c r="D33" s="171">
        <f t="shared" ref="D33:E33" si="1">+D32/$G$32</f>
        <v>0.28220648929906633</v>
      </c>
      <c r="E33" s="171">
        <f t="shared" si="1"/>
        <v>0.22551865956268144</v>
      </c>
      <c r="F33" s="171">
        <f>+F32/G32</f>
        <v>0.24060060965882887</v>
      </c>
      <c r="G33" s="171">
        <f>+G32/G32</f>
        <v>1</v>
      </c>
      <c r="N33" s="173"/>
    </row>
    <row r="34" spans="2:14" ht="15" thickBot="1" x14ac:dyDescent="0.25">
      <c r="B34" s="22"/>
      <c r="D34" s="169"/>
      <c r="E34" s="169"/>
      <c r="F34" s="90"/>
      <c r="L34" s="173"/>
    </row>
    <row r="35" spans="2:14" ht="15.75" thickTop="1" thickBot="1" x14ac:dyDescent="0.25">
      <c r="B35" s="193" t="s">
        <v>127</v>
      </c>
      <c r="C35" s="197">
        <f>AVERAGE(C26:C31)</f>
        <v>723.10833333333323</v>
      </c>
      <c r="D35" s="197">
        <f t="shared" ref="D35:F35" si="2">AVERAGE(D26:D31)</f>
        <v>810.83333333333337</v>
      </c>
      <c r="E35" s="197">
        <f t="shared" si="2"/>
        <v>647.95833333333337</v>
      </c>
      <c r="F35" s="197">
        <f t="shared" si="2"/>
        <v>691.29166666666663</v>
      </c>
      <c r="G35" s="197">
        <f>AVERAGE(G26:G31)</f>
        <v>2873.1916666666671</v>
      </c>
      <c r="L35" s="173"/>
    </row>
    <row r="36" spans="2:14" ht="16.5" customHeight="1" thickTop="1" thickBot="1" x14ac:dyDescent="0.25">
      <c r="B36" s="193" t="s">
        <v>128</v>
      </c>
      <c r="C36" s="219">
        <f>AVERAGE(C35:F35)</f>
        <v>718.29791666666665</v>
      </c>
      <c r="D36" s="220"/>
      <c r="E36" s="220"/>
      <c r="F36" s="220"/>
      <c r="G36" s="221"/>
      <c r="L36" s="173"/>
    </row>
    <row r="37" spans="2:14" ht="15" thickTop="1" x14ac:dyDescent="0.2">
      <c r="B37" s="191"/>
      <c r="C37" s="192"/>
      <c r="D37" s="192"/>
      <c r="E37" s="192"/>
      <c r="F37" s="192"/>
      <c r="G37" s="192"/>
      <c r="L37" s="173"/>
    </row>
    <row r="38" spans="2:14" x14ac:dyDescent="0.2">
      <c r="B38" s="191"/>
      <c r="C38" s="192"/>
      <c r="D38" s="192"/>
      <c r="E38" s="192"/>
      <c r="F38" s="192"/>
      <c r="G38" s="192"/>
      <c r="L38" s="173"/>
    </row>
    <row r="39" spans="2:14" x14ac:dyDescent="0.2">
      <c r="B39" s="191"/>
      <c r="C39" s="192"/>
      <c r="D39" s="192"/>
      <c r="E39" s="192"/>
      <c r="F39" s="192"/>
      <c r="G39" s="192"/>
      <c r="L39" s="173"/>
    </row>
    <row r="40" spans="2:14" x14ac:dyDescent="0.2">
      <c r="B40" s="191"/>
      <c r="C40" s="192"/>
      <c r="D40" s="192"/>
      <c r="E40" s="192"/>
      <c r="F40" s="192"/>
      <c r="G40" s="192"/>
      <c r="L40" s="173"/>
    </row>
    <row r="41" spans="2:14" x14ac:dyDescent="0.2">
      <c r="B41" s="191"/>
      <c r="C41" s="192"/>
      <c r="D41" s="192"/>
      <c r="E41" s="192"/>
      <c r="F41" s="192"/>
      <c r="G41" s="192"/>
      <c r="L41" s="173"/>
    </row>
    <row r="42" spans="2:14" x14ac:dyDescent="0.2">
      <c r="B42" s="191"/>
      <c r="C42" s="192"/>
      <c r="D42" s="192"/>
      <c r="E42" s="192"/>
      <c r="F42" s="192"/>
      <c r="G42" s="192"/>
      <c r="L42" s="173"/>
    </row>
    <row r="43" spans="2:14" x14ac:dyDescent="0.2">
      <c r="B43" s="191"/>
      <c r="C43" s="192"/>
      <c r="D43" s="192"/>
      <c r="E43" s="192"/>
      <c r="F43" s="192"/>
      <c r="G43" s="192"/>
      <c r="L43" s="173"/>
    </row>
    <row r="44" spans="2:14" x14ac:dyDescent="0.2">
      <c r="B44" s="191"/>
      <c r="C44" s="192"/>
      <c r="D44" s="192"/>
      <c r="E44" s="192"/>
      <c r="F44" s="192"/>
      <c r="G44" s="192"/>
      <c r="L44" s="173"/>
    </row>
    <row r="45" spans="2:14" x14ac:dyDescent="0.2">
      <c r="B45" s="191"/>
      <c r="C45" s="192"/>
      <c r="D45" s="192"/>
      <c r="E45" s="192"/>
      <c r="F45" s="192"/>
      <c r="G45" s="192"/>
      <c r="L45" s="173"/>
    </row>
    <row r="46" spans="2:14" x14ac:dyDescent="0.2">
      <c r="B46" s="191"/>
      <c r="C46" s="192"/>
      <c r="D46" s="192"/>
      <c r="E46" s="192"/>
      <c r="F46" s="192"/>
      <c r="G46" s="192"/>
      <c r="L46" s="173"/>
    </row>
    <row r="47" spans="2:14" x14ac:dyDescent="0.2">
      <c r="B47" s="191"/>
      <c r="C47" s="192"/>
      <c r="D47" s="192"/>
      <c r="E47" s="192"/>
      <c r="F47" s="192"/>
      <c r="G47" s="192"/>
      <c r="L47" s="173"/>
    </row>
    <row r="48" spans="2:14" x14ac:dyDescent="0.2">
      <c r="B48" s="191"/>
      <c r="C48" s="192"/>
      <c r="D48" s="192"/>
      <c r="E48" s="192"/>
      <c r="F48" s="192"/>
      <c r="G48" s="192"/>
      <c r="L48" s="173"/>
    </row>
    <row r="49" spans="1:12" x14ac:dyDescent="0.2">
      <c r="B49" s="191"/>
      <c r="C49" s="192"/>
      <c r="D49" s="192"/>
      <c r="E49" s="192"/>
      <c r="F49" s="192"/>
      <c r="G49" s="192"/>
      <c r="L49" s="173"/>
    </row>
    <row r="50" spans="1:12" x14ac:dyDescent="0.2">
      <c r="B50" s="191"/>
      <c r="C50" s="192"/>
      <c r="D50" s="192"/>
      <c r="E50" s="192"/>
      <c r="F50" s="192"/>
      <c r="G50" s="192"/>
      <c r="L50" s="173"/>
    </row>
    <row r="51" spans="1:12" ht="14.25" customHeight="1" x14ac:dyDescent="0.2">
      <c r="B51" s="191"/>
      <c r="C51" s="192"/>
      <c r="D51" s="192"/>
      <c r="E51" s="192"/>
      <c r="F51" s="192"/>
      <c r="G51" s="192"/>
      <c r="L51" s="173"/>
    </row>
    <row r="52" spans="1:12" x14ac:dyDescent="0.2">
      <c r="B52" s="191"/>
      <c r="C52" s="192"/>
      <c r="D52" s="192"/>
      <c r="E52" s="192"/>
      <c r="F52" s="192"/>
      <c r="G52" s="192"/>
      <c r="L52" s="173"/>
    </row>
    <row r="53" spans="1:12" x14ac:dyDescent="0.2">
      <c r="B53" s="191"/>
      <c r="C53" s="192"/>
      <c r="D53" s="192"/>
      <c r="E53" s="192"/>
      <c r="F53" s="192"/>
      <c r="G53" s="192"/>
      <c r="L53" s="173"/>
    </row>
    <row r="54" spans="1:12" ht="15" x14ac:dyDescent="0.25">
      <c r="B54" s="191"/>
      <c r="C54" s="200" t="s">
        <v>148</v>
      </c>
      <c r="D54" s="192"/>
      <c r="E54" s="192"/>
      <c r="F54" s="192"/>
      <c r="G54" s="192"/>
      <c r="L54" s="173"/>
    </row>
    <row r="55" spans="1:12" ht="14.25" customHeight="1" x14ac:dyDescent="0.25">
      <c r="C55" s="167" t="s">
        <v>85</v>
      </c>
      <c r="D55" s="167" t="s">
        <v>144</v>
      </c>
      <c r="E55" s="166" t="s">
        <v>145</v>
      </c>
      <c r="F55" s="166" t="s">
        <v>146</v>
      </c>
      <c r="G55" s="166" t="s">
        <v>86</v>
      </c>
      <c r="L55" s="173"/>
    </row>
    <row r="56" spans="1:12" x14ac:dyDescent="0.2">
      <c r="C56" s="168">
        <v>42766</v>
      </c>
      <c r="D56" s="198">
        <v>1058</v>
      </c>
      <c r="E56" s="199">
        <v>722.65</v>
      </c>
      <c r="F56" s="199">
        <v>1488</v>
      </c>
      <c r="G56" s="192">
        <f>SUM(D56:F56)</f>
        <v>3268.65</v>
      </c>
      <c r="L56" s="173"/>
    </row>
    <row r="57" spans="1:12" x14ac:dyDescent="0.2">
      <c r="C57" s="168">
        <v>42794</v>
      </c>
      <c r="D57" s="198">
        <v>1092</v>
      </c>
      <c r="E57" s="199">
        <v>477</v>
      </c>
      <c r="F57" s="199">
        <v>928</v>
      </c>
      <c r="G57" s="192">
        <f t="shared" ref="G57:G61" si="3">SUM(D57:F57)</f>
        <v>2497</v>
      </c>
      <c r="L57" s="173"/>
    </row>
    <row r="58" spans="1:12" ht="14.25" customHeight="1" x14ac:dyDescent="0.2">
      <c r="C58" s="168">
        <v>42825</v>
      </c>
      <c r="D58" s="198">
        <v>899.5</v>
      </c>
      <c r="E58" s="199">
        <v>587</v>
      </c>
      <c r="F58" s="199">
        <v>1148.5</v>
      </c>
      <c r="G58" s="192">
        <f t="shared" si="3"/>
        <v>2635</v>
      </c>
      <c r="L58" s="173"/>
    </row>
    <row r="59" spans="1:12" ht="18" customHeight="1" x14ac:dyDescent="0.2">
      <c r="C59" s="168">
        <v>42855</v>
      </c>
      <c r="D59" s="198">
        <v>699.5</v>
      </c>
      <c r="E59" s="199">
        <v>777.75</v>
      </c>
      <c r="F59" s="199">
        <v>1563.5</v>
      </c>
      <c r="G59" s="192">
        <f t="shared" si="3"/>
        <v>3040.75</v>
      </c>
      <c r="L59" s="173"/>
    </row>
    <row r="60" spans="1:12" x14ac:dyDescent="0.2">
      <c r="C60" s="168">
        <v>42886</v>
      </c>
      <c r="D60" s="198">
        <v>790.25</v>
      </c>
      <c r="E60" s="199">
        <v>535.5</v>
      </c>
      <c r="F60" s="199">
        <v>1547</v>
      </c>
      <c r="G60" s="192">
        <f t="shared" si="3"/>
        <v>2872.75</v>
      </c>
      <c r="L60" s="173"/>
    </row>
    <row r="61" spans="1:12" x14ac:dyDescent="0.2">
      <c r="C61" s="168">
        <v>42916</v>
      </c>
      <c r="D61" s="198">
        <v>842.5</v>
      </c>
      <c r="E61" s="199">
        <v>575</v>
      </c>
      <c r="F61" s="199">
        <v>1507.5</v>
      </c>
      <c r="G61" s="192">
        <f t="shared" si="3"/>
        <v>2925</v>
      </c>
      <c r="L61" s="173"/>
    </row>
    <row r="62" spans="1:12" ht="15.75" thickBot="1" x14ac:dyDescent="0.3">
      <c r="C62" s="91" t="s">
        <v>86</v>
      </c>
      <c r="D62" s="201">
        <f>SUM(D56:D61)</f>
        <v>5381.75</v>
      </c>
      <c r="E62" s="201">
        <f>SUM(E56:E61)</f>
        <v>3674.9</v>
      </c>
      <c r="F62" s="201">
        <f>SUM(F56:F61)</f>
        <v>8182.5</v>
      </c>
      <c r="G62" s="201">
        <f>SUM(G56:G61)</f>
        <v>17239.150000000001</v>
      </c>
      <c r="L62" s="173"/>
    </row>
    <row r="63" spans="1:12" ht="15" thickTop="1" x14ac:dyDescent="0.2">
      <c r="C63" s="198"/>
      <c r="D63" s="199"/>
      <c r="E63" s="199"/>
      <c r="F63" s="192"/>
      <c r="G63" s="192"/>
      <c r="L63" s="173"/>
    </row>
    <row r="64" spans="1:12" ht="15" x14ac:dyDescent="0.25">
      <c r="A64" s="95" t="s">
        <v>129</v>
      </c>
      <c r="D64" s="90"/>
      <c r="E64" s="90"/>
      <c r="L64" s="173"/>
    </row>
    <row r="65" spans="1:12" ht="15" x14ac:dyDescent="0.25">
      <c r="A65" s="95"/>
      <c r="D65" s="90"/>
      <c r="E65" s="90"/>
      <c r="L65" s="173"/>
    </row>
    <row r="66" spans="1:12" x14ac:dyDescent="0.2">
      <c r="A66" s="195" t="s">
        <v>130</v>
      </c>
      <c r="B66" s="194"/>
      <c r="C66" s="194"/>
      <c r="D66" s="194"/>
      <c r="E66" s="194"/>
      <c r="F66" s="194"/>
      <c r="G66" s="194"/>
      <c r="H66" s="194"/>
      <c r="I66" s="194"/>
      <c r="J66" s="194"/>
      <c r="L66" s="173"/>
    </row>
    <row r="67" spans="1:12" x14ac:dyDescent="0.2">
      <c r="A67" s="196" t="s">
        <v>151</v>
      </c>
      <c r="B67" s="194"/>
      <c r="C67" s="194"/>
      <c r="D67" s="194"/>
      <c r="E67" s="194"/>
      <c r="F67" s="194"/>
      <c r="G67" s="194"/>
      <c r="H67" s="194"/>
      <c r="I67" s="194"/>
      <c r="J67" s="194"/>
      <c r="L67" s="173"/>
    </row>
    <row r="68" spans="1:12" x14ac:dyDescent="0.2">
      <c r="A68" s="194"/>
      <c r="B68" s="194"/>
      <c r="C68" s="194"/>
      <c r="D68" s="194"/>
      <c r="E68" s="194"/>
      <c r="F68" s="194"/>
      <c r="G68" s="194"/>
      <c r="H68" s="194"/>
      <c r="I68" s="194"/>
      <c r="J68" s="194"/>
      <c r="L68" s="173"/>
    </row>
    <row r="69" spans="1:12" x14ac:dyDescent="0.2">
      <c r="A69" s="195" t="s">
        <v>132</v>
      </c>
      <c r="B69" s="194"/>
      <c r="C69" s="194"/>
      <c r="D69" s="194"/>
      <c r="E69" s="194"/>
      <c r="F69" s="194"/>
      <c r="G69" s="194"/>
      <c r="H69" s="194"/>
      <c r="I69" s="194"/>
      <c r="J69" s="194"/>
      <c r="L69" s="173"/>
    </row>
    <row r="70" spans="1:12" x14ac:dyDescent="0.2">
      <c r="A70" s="196" t="s">
        <v>158</v>
      </c>
      <c r="B70" s="194"/>
      <c r="C70" s="194"/>
      <c r="D70" s="194"/>
      <c r="E70" s="194"/>
      <c r="F70" s="194"/>
      <c r="G70" s="194"/>
      <c r="H70" s="194"/>
      <c r="I70" s="194"/>
      <c r="J70" s="194"/>
      <c r="L70" s="173"/>
    </row>
    <row r="71" spans="1:12" x14ac:dyDescent="0.2">
      <c r="A71" s="196" t="s">
        <v>149</v>
      </c>
      <c r="B71" s="194"/>
      <c r="C71" s="194"/>
      <c r="D71" s="194"/>
      <c r="E71" s="194"/>
      <c r="F71" s="194"/>
      <c r="G71" s="194"/>
      <c r="H71" s="194"/>
      <c r="I71" s="194"/>
      <c r="J71" s="194"/>
      <c r="L71" s="173"/>
    </row>
    <row r="72" spans="1:12" x14ac:dyDescent="0.2">
      <c r="A72" s="196"/>
      <c r="B72" s="194"/>
      <c r="C72" s="194"/>
      <c r="D72" s="194"/>
      <c r="E72" s="194"/>
      <c r="F72" s="194"/>
      <c r="G72" s="194"/>
      <c r="H72" s="194"/>
      <c r="I72" s="194"/>
      <c r="J72" s="194"/>
      <c r="L72" s="173"/>
    </row>
    <row r="73" spans="1:12" x14ac:dyDescent="0.2">
      <c r="A73" s="195" t="s">
        <v>131</v>
      </c>
      <c r="B73" s="194"/>
      <c r="C73" s="194"/>
      <c r="D73" s="194"/>
      <c r="E73" s="194"/>
      <c r="F73" s="194"/>
      <c r="G73" s="194"/>
      <c r="H73" s="194"/>
      <c r="I73" s="194"/>
      <c r="J73" s="194"/>
      <c r="L73" s="173"/>
    </row>
    <row r="74" spans="1:12" x14ac:dyDescent="0.2">
      <c r="A74" s="196" t="s">
        <v>150</v>
      </c>
      <c r="B74" s="194"/>
      <c r="C74" s="194"/>
      <c r="D74" s="194"/>
      <c r="E74" s="194"/>
      <c r="F74" s="194"/>
      <c r="G74" s="194"/>
      <c r="H74" s="194"/>
      <c r="I74" s="194"/>
      <c r="J74" s="194"/>
      <c r="L74" s="173"/>
    </row>
    <row r="75" spans="1:12" x14ac:dyDescent="0.2">
      <c r="A75" s="194"/>
      <c r="B75" s="194"/>
      <c r="C75" s="194"/>
      <c r="D75" s="194"/>
      <c r="E75" s="194"/>
      <c r="F75" s="194"/>
      <c r="G75" s="194"/>
      <c r="H75" s="194"/>
      <c r="I75" s="194"/>
      <c r="J75" s="194"/>
      <c r="L75" s="173"/>
    </row>
    <row r="76" spans="1:12" x14ac:dyDescent="0.2">
      <c r="A76" s="195" t="s">
        <v>133</v>
      </c>
      <c r="B76" s="194"/>
      <c r="C76" s="194"/>
      <c r="D76" s="194"/>
      <c r="E76" s="194"/>
      <c r="F76" s="194"/>
      <c r="G76" s="194"/>
      <c r="H76" s="194"/>
      <c r="I76" s="194"/>
      <c r="J76" s="194"/>
    </row>
    <row r="77" spans="1:12" x14ac:dyDescent="0.2">
      <c r="A77" s="196" t="s">
        <v>134</v>
      </c>
    </row>
    <row r="79" spans="1:12" x14ac:dyDescent="0.2">
      <c r="A79" s="17" t="s">
        <v>135</v>
      </c>
    </row>
    <row r="80" spans="1:12" x14ac:dyDescent="0.2">
      <c r="A80" s="196" t="s">
        <v>136</v>
      </c>
    </row>
    <row r="82" spans="1:1" x14ac:dyDescent="0.2">
      <c r="A82" s="17" t="s">
        <v>152</v>
      </c>
    </row>
    <row r="83" spans="1:1" x14ac:dyDescent="0.2">
      <c r="A83" s="196" t="s">
        <v>153</v>
      </c>
    </row>
  </sheetData>
  <mergeCells count="4">
    <mergeCell ref="A2:C2"/>
    <mergeCell ref="A7:J9"/>
    <mergeCell ref="H24:H25"/>
    <mergeCell ref="C36:G36"/>
  </mergeCells>
  <printOptions horizontalCentered="1"/>
  <pageMargins left="0.45" right="0.45" top="0.75" bottom="0.5" header="0.3" footer="0.3"/>
  <pageSetup paperSize="9" scale="77" orientation="portrait" r:id="rId1"/>
  <headerFooter>
    <oddFooter xml:space="preserve">&amp;L           &amp;A          &amp;D&amp;Cby &amp;"-,Bold"&amp;12&amp;K003366Partner&amp;"-,Regular"&amp;11&amp;K0070C0plus&amp;"-,Bold"&amp;12&amp;X&amp;K00FF00+&amp;RPage &amp;P of &amp;N         </oddFooter>
  </headerFooter>
  <rowBreaks count="1" manualBreakCount="1">
    <brk id="63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7"/>
  <sheetViews>
    <sheetView topLeftCell="A34" workbookViewId="0">
      <selection activeCell="E50" sqref="E50"/>
    </sheetView>
  </sheetViews>
  <sheetFormatPr defaultRowHeight="15" x14ac:dyDescent="0.25"/>
  <cols>
    <col min="1" max="1" width="23.85546875" style="1" customWidth="1"/>
    <col min="2" max="6" width="14.28515625" style="1" customWidth="1"/>
    <col min="7" max="256" width="9.140625" style="1"/>
    <col min="257" max="257" width="23.85546875" style="1" customWidth="1"/>
    <col min="258" max="262" width="14.28515625" style="1" customWidth="1"/>
    <col min="263" max="512" width="9.140625" style="1"/>
    <col min="513" max="513" width="23.85546875" style="1" customWidth="1"/>
    <col min="514" max="518" width="14.28515625" style="1" customWidth="1"/>
    <col min="519" max="768" width="9.140625" style="1"/>
    <col min="769" max="769" width="23.85546875" style="1" customWidth="1"/>
    <col min="770" max="774" width="14.28515625" style="1" customWidth="1"/>
    <col min="775" max="1024" width="9.140625" style="1"/>
    <col min="1025" max="1025" width="23.85546875" style="1" customWidth="1"/>
    <col min="1026" max="1030" width="14.28515625" style="1" customWidth="1"/>
    <col min="1031" max="1280" width="9.140625" style="1"/>
    <col min="1281" max="1281" width="23.85546875" style="1" customWidth="1"/>
    <col min="1282" max="1286" width="14.28515625" style="1" customWidth="1"/>
    <col min="1287" max="1536" width="9.140625" style="1"/>
    <col min="1537" max="1537" width="23.85546875" style="1" customWidth="1"/>
    <col min="1538" max="1542" width="14.28515625" style="1" customWidth="1"/>
    <col min="1543" max="1792" width="9.140625" style="1"/>
    <col min="1793" max="1793" width="23.85546875" style="1" customWidth="1"/>
    <col min="1794" max="1798" width="14.28515625" style="1" customWidth="1"/>
    <col min="1799" max="2048" width="9.140625" style="1"/>
    <col min="2049" max="2049" width="23.85546875" style="1" customWidth="1"/>
    <col min="2050" max="2054" width="14.28515625" style="1" customWidth="1"/>
    <col min="2055" max="2304" width="9.140625" style="1"/>
    <col min="2305" max="2305" width="23.85546875" style="1" customWidth="1"/>
    <col min="2306" max="2310" width="14.28515625" style="1" customWidth="1"/>
    <col min="2311" max="2560" width="9.140625" style="1"/>
    <col min="2561" max="2561" width="23.85546875" style="1" customWidth="1"/>
    <col min="2562" max="2566" width="14.28515625" style="1" customWidth="1"/>
    <col min="2567" max="2816" width="9.140625" style="1"/>
    <col min="2817" max="2817" width="23.85546875" style="1" customWidth="1"/>
    <col min="2818" max="2822" width="14.28515625" style="1" customWidth="1"/>
    <col min="2823" max="3072" width="9.140625" style="1"/>
    <col min="3073" max="3073" width="23.85546875" style="1" customWidth="1"/>
    <col min="3074" max="3078" width="14.28515625" style="1" customWidth="1"/>
    <col min="3079" max="3328" width="9.140625" style="1"/>
    <col min="3329" max="3329" width="23.85546875" style="1" customWidth="1"/>
    <col min="3330" max="3334" width="14.28515625" style="1" customWidth="1"/>
    <col min="3335" max="3584" width="9.140625" style="1"/>
    <col min="3585" max="3585" width="23.85546875" style="1" customWidth="1"/>
    <col min="3586" max="3590" width="14.28515625" style="1" customWidth="1"/>
    <col min="3591" max="3840" width="9.140625" style="1"/>
    <col min="3841" max="3841" width="23.85546875" style="1" customWidth="1"/>
    <col min="3842" max="3846" width="14.28515625" style="1" customWidth="1"/>
    <col min="3847" max="4096" width="9.140625" style="1"/>
    <col min="4097" max="4097" width="23.85546875" style="1" customWidth="1"/>
    <col min="4098" max="4102" width="14.28515625" style="1" customWidth="1"/>
    <col min="4103" max="4352" width="9.140625" style="1"/>
    <col min="4353" max="4353" width="23.85546875" style="1" customWidth="1"/>
    <col min="4354" max="4358" width="14.28515625" style="1" customWidth="1"/>
    <col min="4359" max="4608" width="9.140625" style="1"/>
    <col min="4609" max="4609" width="23.85546875" style="1" customWidth="1"/>
    <col min="4610" max="4614" width="14.28515625" style="1" customWidth="1"/>
    <col min="4615" max="4864" width="9.140625" style="1"/>
    <col min="4865" max="4865" width="23.85546875" style="1" customWidth="1"/>
    <col min="4866" max="4870" width="14.28515625" style="1" customWidth="1"/>
    <col min="4871" max="5120" width="9.140625" style="1"/>
    <col min="5121" max="5121" width="23.85546875" style="1" customWidth="1"/>
    <col min="5122" max="5126" width="14.28515625" style="1" customWidth="1"/>
    <col min="5127" max="5376" width="9.140625" style="1"/>
    <col min="5377" max="5377" width="23.85546875" style="1" customWidth="1"/>
    <col min="5378" max="5382" width="14.28515625" style="1" customWidth="1"/>
    <col min="5383" max="5632" width="9.140625" style="1"/>
    <col min="5633" max="5633" width="23.85546875" style="1" customWidth="1"/>
    <col min="5634" max="5638" width="14.28515625" style="1" customWidth="1"/>
    <col min="5639" max="5888" width="9.140625" style="1"/>
    <col min="5889" max="5889" width="23.85546875" style="1" customWidth="1"/>
    <col min="5890" max="5894" width="14.28515625" style="1" customWidth="1"/>
    <col min="5895" max="6144" width="9.140625" style="1"/>
    <col min="6145" max="6145" width="23.85546875" style="1" customWidth="1"/>
    <col min="6146" max="6150" width="14.28515625" style="1" customWidth="1"/>
    <col min="6151" max="6400" width="9.140625" style="1"/>
    <col min="6401" max="6401" width="23.85546875" style="1" customWidth="1"/>
    <col min="6402" max="6406" width="14.28515625" style="1" customWidth="1"/>
    <col min="6407" max="6656" width="9.140625" style="1"/>
    <col min="6657" max="6657" width="23.85546875" style="1" customWidth="1"/>
    <col min="6658" max="6662" width="14.28515625" style="1" customWidth="1"/>
    <col min="6663" max="6912" width="9.140625" style="1"/>
    <col min="6913" max="6913" width="23.85546875" style="1" customWidth="1"/>
    <col min="6914" max="6918" width="14.28515625" style="1" customWidth="1"/>
    <col min="6919" max="7168" width="9.140625" style="1"/>
    <col min="7169" max="7169" width="23.85546875" style="1" customWidth="1"/>
    <col min="7170" max="7174" width="14.28515625" style="1" customWidth="1"/>
    <col min="7175" max="7424" width="9.140625" style="1"/>
    <col min="7425" max="7425" width="23.85546875" style="1" customWidth="1"/>
    <col min="7426" max="7430" width="14.28515625" style="1" customWidth="1"/>
    <col min="7431" max="7680" width="9.140625" style="1"/>
    <col min="7681" max="7681" width="23.85546875" style="1" customWidth="1"/>
    <col min="7682" max="7686" width="14.28515625" style="1" customWidth="1"/>
    <col min="7687" max="7936" width="9.140625" style="1"/>
    <col min="7937" max="7937" width="23.85546875" style="1" customWidth="1"/>
    <col min="7938" max="7942" width="14.28515625" style="1" customWidth="1"/>
    <col min="7943" max="8192" width="9.140625" style="1"/>
    <col min="8193" max="8193" width="23.85546875" style="1" customWidth="1"/>
    <col min="8194" max="8198" width="14.28515625" style="1" customWidth="1"/>
    <col min="8199" max="8448" width="9.140625" style="1"/>
    <col min="8449" max="8449" width="23.85546875" style="1" customWidth="1"/>
    <col min="8450" max="8454" width="14.28515625" style="1" customWidth="1"/>
    <col min="8455" max="8704" width="9.140625" style="1"/>
    <col min="8705" max="8705" width="23.85546875" style="1" customWidth="1"/>
    <col min="8706" max="8710" width="14.28515625" style="1" customWidth="1"/>
    <col min="8711" max="8960" width="9.140625" style="1"/>
    <col min="8961" max="8961" width="23.85546875" style="1" customWidth="1"/>
    <col min="8962" max="8966" width="14.28515625" style="1" customWidth="1"/>
    <col min="8967" max="9216" width="9.140625" style="1"/>
    <col min="9217" max="9217" width="23.85546875" style="1" customWidth="1"/>
    <col min="9218" max="9222" width="14.28515625" style="1" customWidth="1"/>
    <col min="9223" max="9472" width="9.140625" style="1"/>
    <col min="9473" max="9473" width="23.85546875" style="1" customWidth="1"/>
    <col min="9474" max="9478" width="14.28515625" style="1" customWidth="1"/>
    <col min="9479" max="9728" width="9.140625" style="1"/>
    <col min="9729" max="9729" width="23.85546875" style="1" customWidth="1"/>
    <col min="9730" max="9734" width="14.28515625" style="1" customWidth="1"/>
    <col min="9735" max="9984" width="9.140625" style="1"/>
    <col min="9985" max="9985" width="23.85546875" style="1" customWidth="1"/>
    <col min="9986" max="9990" width="14.28515625" style="1" customWidth="1"/>
    <col min="9991" max="10240" width="9.140625" style="1"/>
    <col min="10241" max="10241" width="23.85546875" style="1" customWidth="1"/>
    <col min="10242" max="10246" width="14.28515625" style="1" customWidth="1"/>
    <col min="10247" max="10496" width="9.140625" style="1"/>
    <col min="10497" max="10497" width="23.85546875" style="1" customWidth="1"/>
    <col min="10498" max="10502" width="14.28515625" style="1" customWidth="1"/>
    <col min="10503" max="10752" width="9.140625" style="1"/>
    <col min="10753" max="10753" width="23.85546875" style="1" customWidth="1"/>
    <col min="10754" max="10758" width="14.28515625" style="1" customWidth="1"/>
    <col min="10759" max="11008" width="9.140625" style="1"/>
    <col min="11009" max="11009" width="23.85546875" style="1" customWidth="1"/>
    <col min="11010" max="11014" width="14.28515625" style="1" customWidth="1"/>
    <col min="11015" max="11264" width="9.140625" style="1"/>
    <col min="11265" max="11265" width="23.85546875" style="1" customWidth="1"/>
    <col min="11266" max="11270" width="14.28515625" style="1" customWidth="1"/>
    <col min="11271" max="11520" width="9.140625" style="1"/>
    <col min="11521" max="11521" width="23.85546875" style="1" customWidth="1"/>
    <col min="11522" max="11526" width="14.28515625" style="1" customWidth="1"/>
    <col min="11527" max="11776" width="9.140625" style="1"/>
    <col min="11777" max="11777" width="23.85546875" style="1" customWidth="1"/>
    <col min="11778" max="11782" width="14.28515625" style="1" customWidth="1"/>
    <col min="11783" max="12032" width="9.140625" style="1"/>
    <col min="12033" max="12033" width="23.85546875" style="1" customWidth="1"/>
    <col min="12034" max="12038" width="14.28515625" style="1" customWidth="1"/>
    <col min="12039" max="12288" width="9.140625" style="1"/>
    <col min="12289" max="12289" width="23.85546875" style="1" customWidth="1"/>
    <col min="12290" max="12294" width="14.28515625" style="1" customWidth="1"/>
    <col min="12295" max="12544" width="9.140625" style="1"/>
    <col min="12545" max="12545" width="23.85546875" style="1" customWidth="1"/>
    <col min="12546" max="12550" width="14.28515625" style="1" customWidth="1"/>
    <col min="12551" max="12800" width="9.140625" style="1"/>
    <col min="12801" max="12801" width="23.85546875" style="1" customWidth="1"/>
    <col min="12802" max="12806" width="14.28515625" style="1" customWidth="1"/>
    <col min="12807" max="13056" width="9.140625" style="1"/>
    <col min="13057" max="13057" width="23.85546875" style="1" customWidth="1"/>
    <col min="13058" max="13062" width="14.28515625" style="1" customWidth="1"/>
    <col min="13063" max="13312" width="9.140625" style="1"/>
    <col min="13313" max="13313" width="23.85546875" style="1" customWidth="1"/>
    <col min="13314" max="13318" width="14.28515625" style="1" customWidth="1"/>
    <col min="13319" max="13568" width="9.140625" style="1"/>
    <col min="13569" max="13569" width="23.85546875" style="1" customWidth="1"/>
    <col min="13570" max="13574" width="14.28515625" style="1" customWidth="1"/>
    <col min="13575" max="13824" width="9.140625" style="1"/>
    <col min="13825" max="13825" width="23.85546875" style="1" customWidth="1"/>
    <col min="13826" max="13830" width="14.28515625" style="1" customWidth="1"/>
    <col min="13831" max="14080" width="9.140625" style="1"/>
    <col min="14081" max="14081" width="23.85546875" style="1" customWidth="1"/>
    <col min="14082" max="14086" width="14.28515625" style="1" customWidth="1"/>
    <col min="14087" max="14336" width="9.140625" style="1"/>
    <col min="14337" max="14337" width="23.85546875" style="1" customWidth="1"/>
    <col min="14338" max="14342" width="14.28515625" style="1" customWidth="1"/>
    <col min="14343" max="14592" width="9.140625" style="1"/>
    <col min="14593" max="14593" width="23.85546875" style="1" customWidth="1"/>
    <col min="14594" max="14598" width="14.28515625" style="1" customWidth="1"/>
    <col min="14599" max="14848" width="9.140625" style="1"/>
    <col min="14849" max="14849" width="23.85546875" style="1" customWidth="1"/>
    <col min="14850" max="14854" width="14.28515625" style="1" customWidth="1"/>
    <col min="14855" max="15104" width="9.140625" style="1"/>
    <col min="15105" max="15105" width="23.85546875" style="1" customWidth="1"/>
    <col min="15106" max="15110" width="14.28515625" style="1" customWidth="1"/>
    <col min="15111" max="15360" width="9.140625" style="1"/>
    <col min="15361" max="15361" width="23.85546875" style="1" customWidth="1"/>
    <col min="15362" max="15366" width="14.28515625" style="1" customWidth="1"/>
    <col min="15367" max="15616" width="9.140625" style="1"/>
    <col min="15617" max="15617" width="23.85546875" style="1" customWidth="1"/>
    <col min="15618" max="15622" width="14.28515625" style="1" customWidth="1"/>
    <col min="15623" max="15872" width="9.140625" style="1"/>
    <col min="15873" max="15873" width="23.85546875" style="1" customWidth="1"/>
    <col min="15874" max="15878" width="14.28515625" style="1" customWidth="1"/>
    <col min="15879" max="16128" width="9.140625" style="1"/>
    <col min="16129" max="16129" width="23.85546875" style="1" customWidth="1"/>
    <col min="16130" max="16134" width="14.28515625" style="1" customWidth="1"/>
    <col min="16135" max="16384" width="9.140625" style="1"/>
  </cols>
  <sheetData>
    <row r="1" spans="1:7" ht="12.75" customHeight="1" x14ac:dyDescent="0.25">
      <c r="A1" s="222" t="s">
        <v>35</v>
      </c>
      <c r="B1" s="222"/>
      <c r="C1" s="222"/>
      <c r="D1" s="222"/>
      <c r="E1" s="222"/>
      <c r="F1" s="222"/>
    </row>
    <row r="2" spans="1:7" ht="12.75" customHeight="1" x14ac:dyDescent="0.25">
      <c r="A2" s="223" t="s">
        <v>92</v>
      </c>
      <c r="B2" s="223"/>
      <c r="C2" s="223"/>
      <c r="D2" s="223"/>
      <c r="E2" s="223"/>
      <c r="F2" s="223"/>
    </row>
    <row r="3" spans="1:7" ht="12.75" customHeight="1" x14ac:dyDescent="0.25">
      <c r="A3" s="223" t="s">
        <v>140</v>
      </c>
      <c r="B3" s="223"/>
      <c r="C3" s="223"/>
      <c r="D3" s="223"/>
      <c r="E3" s="223"/>
      <c r="F3" s="223"/>
    </row>
    <row r="4" spans="1:7" ht="12.75" customHeight="1" x14ac:dyDescent="0.25"/>
    <row r="5" spans="1:7" ht="12.75" customHeight="1" x14ac:dyDescent="0.25">
      <c r="A5" s="2"/>
      <c r="B5" s="2" t="s">
        <v>141</v>
      </c>
      <c r="C5" s="2" t="s">
        <v>90</v>
      </c>
      <c r="D5" s="2" t="s">
        <v>74</v>
      </c>
      <c r="E5" s="2" t="s">
        <v>75</v>
      </c>
      <c r="F5" s="2" t="s">
        <v>76</v>
      </c>
      <c r="G5" s="3"/>
    </row>
    <row r="6" spans="1:7" ht="12.75" customHeight="1" x14ac:dyDescent="0.25"/>
    <row r="7" spans="1:7" ht="12.75" customHeight="1" x14ac:dyDescent="0.25">
      <c r="A7" s="4" t="s">
        <v>0</v>
      </c>
    </row>
    <row r="8" spans="1:7" ht="12.75" customHeight="1" x14ac:dyDescent="0.25"/>
    <row r="9" spans="1:7" ht="12.75" customHeight="1" x14ac:dyDescent="0.25">
      <c r="A9" s="4" t="s">
        <v>36</v>
      </c>
    </row>
    <row r="10" spans="1:7" ht="12.75" customHeight="1" x14ac:dyDescent="0.25">
      <c r="A10" s="5" t="s">
        <v>37</v>
      </c>
      <c r="B10" s="5">
        <v>1156.54</v>
      </c>
      <c r="C10" s="5">
        <v>1003.29</v>
      </c>
      <c r="D10" s="5">
        <v>1022.55</v>
      </c>
      <c r="E10" s="5">
        <v>867.53</v>
      </c>
      <c r="F10" s="5">
        <v>395.84</v>
      </c>
      <c r="G10" s="3"/>
    </row>
    <row r="11" spans="1:7" ht="12.75" customHeight="1" x14ac:dyDescent="0.25">
      <c r="A11" s="5" t="s">
        <v>101</v>
      </c>
      <c r="B11" s="5">
        <v>2136.29</v>
      </c>
      <c r="C11" s="5">
        <v>685.89</v>
      </c>
      <c r="D11" s="5">
        <v>2403.39</v>
      </c>
      <c r="E11" s="5">
        <v>1013.57</v>
      </c>
      <c r="F11" s="5">
        <v>3484.2</v>
      </c>
      <c r="G11" s="3"/>
    </row>
    <row r="12" spans="1:7" ht="12.75" customHeight="1" x14ac:dyDescent="0.25">
      <c r="A12" s="5" t="s">
        <v>102</v>
      </c>
      <c r="B12" s="5">
        <v>2408</v>
      </c>
      <c r="C12" s="5">
        <v>2408</v>
      </c>
      <c r="D12" s="5">
        <v>2207.5</v>
      </c>
      <c r="E12" s="5">
        <v>2065</v>
      </c>
      <c r="F12" s="5">
        <v>1921.5</v>
      </c>
      <c r="G12" s="3"/>
    </row>
    <row r="13" spans="1:7" ht="12.75" customHeight="1" x14ac:dyDescent="0.25">
      <c r="A13" s="6" t="s">
        <v>38</v>
      </c>
      <c r="B13" s="178">
        <f>SUM(B10:B12)</f>
        <v>5700.83</v>
      </c>
      <c r="C13" s="178">
        <f>SUM(C10:C12)</f>
        <v>4097.18</v>
      </c>
      <c r="D13" s="178">
        <f>SUM(D10:D12)</f>
        <v>5633.44</v>
      </c>
      <c r="E13" s="178">
        <f>SUM(E10:E12)</f>
        <v>3946.1</v>
      </c>
      <c r="F13" s="178">
        <f>SUM(F10:F12)</f>
        <v>5801.54</v>
      </c>
      <c r="G13" s="3"/>
    </row>
    <row r="14" spans="1:7" ht="12.75" customHeight="1" x14ac:dyDescent="0.25"/>
    <row r="15" spans="1:7" ht="12.75" customHeight="1" x14ac:dyDescent="0.25">
      <c r="A15" s="4" t="s">
        <v>39</v>
      </c>
    </row>
    <row r="16" spans="1:7" ht="12.75" customHeight="1" x14ac:dyDescent="0.25">
      <c r="A16" s="5" t="s">
        <v>77</v>
      </c>
      <c r="B16" s="5">
        <v>153.5</v>
      </c>
      <c r="C16" s="5">
        <v>58.5</v>
      </c>
      <c r="D16" s="5">
        <v>26.5</v>
      </c>
      <c r="E16" s="5">
        <v>26.5</v>
      </c>
      <c r="F16" s="5">
        <v>28</v>
      </c>
      <c r="G16" s="3"/>
    </row>
    <row r="17" spans="1:7" ht="12.75" customHeight="1" x14ac:dyDescent="0.25">
      <c r="A17" s="5" t="s">
        <v>103</v>
      </c>
      <c r="B17" s="5">
        <v>1472.35</v>
      </c>
      <c r="C17" s="5">
        <v>1459.25</v>
      </c>
      <c r="D17" s="5">
        <v>1460.07</v>
      </c>
      <c r="E17" s="5">
        <v>1366.08</v>
      </c>
      <c r="F17" s="5">
        <v>1386.07</v>
      </c>
      <c r="G17" s="3"/>
    </row>
    <row r="18" spans="1:7" ht="12.75" customHeight="1" x14ac:dyDescent="0.25">
      <c r="A18" s="5" t="s">
        <v>104</v>
      </c>
      <c r="B18" s="5">
        <v>300</v>
      </c>
      <c r="C18" s="5">
        <v>300</v>
      </c>
      <c r="D18" s="5">
        <v>300</v>
      </c>
      <c r="E18" s="5">
        <v>300</v>
      </c>
      <c r="F18" s="5">
        <v>300</v>
      </c>
      <c r="G18" s="3"/>
    </row>
    <row r="19" spans="1:7" ht="12.75" customHeight="1" x14ac:dyDescent="0.25">
      <c r="A19" s="6" t="s">
        <v>40</v>
      </c>
      <c r="B19" s="178">
        <f>SUM(B16:B18)</f>
        <v>1925.85</v>
      </c>
      <c r="C19" s="178">
        <f>SUM(C16:C18)</f>
        <v>1817.75</v>
      </c>
      <c r="D19" s="178">
        <f>SUM(D16:D18)</f>
        <v>1786.57</v>
      </c>
      <c r="E19" s="178">
        <f>SUM(E16:E18)</f>
        <v>1692.58</v>
      </c>
      <c r="F19" s="178">
        <f>SUM(F16:F18)</f>
        <v>1714.07</v>
      </c>
      <c r="G19" s="3"/>
    </row>
    <row r="20" spans="1:7" ht="12.75" customHeight="1" x14ac:dyDescent="0.25"/>
    <row r="21" spans="1:7" ht="12.75" customHeight="1" x14ac:dyDescent="0.25">
      <c r="A21" s="4" t="s">
        <v>41</v>
      </c>
    </row>
    <row r="22" spans="1:7" ht="12.75" customHeight="1" x14ac:dyDescent="0.25">
      <c r="A22" s="5" t="s">
        <v>78</v>
      </c>
      <c r="B22" s="5">
        <v>-11040.12</v>
      </c>
      <c r="C22" s="5">
        <v>-10839.13</v>
      </c>
      <c r="D22" s="5">
        <v>-10638.11</v>
      </c>
      <c r="E22" s="5">
        <v>-10437.120000000001</v>
      </c>
      <c r="F22" s="5">
        <v>-10236.129999999999</v>
      </c>
      <c r="G22" s="3"/>
    </row>
    <row r="23" spans="1:7" ht="12.75" customHeight="1" x14ac:dyDescent="0.25">
      <c r="A23" s="5" t="s">
        <v>105</v>
      </c>
      <c r="B23" s="5">
        <v>-2858.49</v>
      </c>
      <c r="C23" s="5">
        <v>-2829.34</v>
      </c>
      <c r="D23" s="5">
        <v>-2790.57</v>
      </c>
      <c r="E23" s="5">
        <v>-2746.51</v>
      </c>
      <c r="F23" s="5">
        <v>-2702.43</v>
      </c>
      <c r="G23" s="3"/>
    </row>
    <row r="24" spans="1:7" ht="12.75" customHeight="1" x14ac:dyDescent="0.25">
      <c r="A24" s="5" t="s">
        <v>79</v>
      </c>
      <c r="B24" s="5">
        <v>16010</v>
      </c>
      <c r="C24" s="5">
        <v>16010</v>
      </c>
      <c r="D24" s="5">
        <v>16010</v>
      </c>
      <c r="E24" s="5">
        <v>16010</v>
      </c>
      <c r="F24" s="5">
        <v>16010</v>
      </c>
      <c r="G24" s="3"/>
    </row>
    <row r="25" spans="1:7" ht="12.75" customHeight="1" x14ac:dyDescent="0.25">
      <c r="A25" s="5" t="s">
        <v>106</v>
      </c>
      <c r="B25" s="5">
        <v>3399</v>
      </c>
      <c r="C25" s="5">
        <v>3399</v>
      </c>
      <c r="D25" s="5">
        <v>3399</v>
      </c>
      <c r="E25" s="5">
        <v>3399</v>
      </c>
      <c r="F25" s="5">
        <v>3399</v>
      </c>
      <c r="G25" s="3"/>
    </row>
    <row r="26" spans="1:7" ht="12.75" customHeight="1" x14ac:dyDescent="0.25">
      <c r="A26" s="6" t="s">
        <v>42</v>
      </c>
      <c r="B26" s="178">
        <f>SUM(B22:B25)</f>
        <v>5510.3899999999994</v>
      </c>
      <c r="C26" s="178">
        <f>SUM(C22:C25)</f>
        <v>5740.5300000000007</v>
      </c>
      <c r="D26" s="178">
        <f>SUM(D22:D25)</f>
        <v>5980.32</v>
      </c>
      <c r="E26" s="178">
        <f>SUM(E22:E25)</f>
        <v>6225.369999999999</v>
      </c>
      <c r="F26" s="178">
        <f>SUM(F22:F25)</f>
        <v>6470.4400000000005</v>
      </c>
      <c r="G26" s="3"/>
    </row>
    <row r="27" spans="1:7" ht="12.75" customHeight="1" x14ac:dyDescent="0.25"/>
    <row r="28" spans="1:7" ht="12.75" customHeight="1" thickBot="1" x14ac:dyDescent="0.3">
      <c r="A28" s="7" t="s">
        <v>8</v>
      </c>
      <c r="B28" s="179">
        <f>(0+(0)+(B13)+(B19)+(B26))-(0)</f>
        <v>13137.07</v>
      </c>
      <c r="C28" s="179">
        <f>(0+(0)+(C13)+(C19)+(C26))-(0)</f>
        <v>11655.460000000001</v>
      </c>
      <c r="D28" s="179">
        <f>(0+(0)+(D13)+(D19)+(D26))-(0)</f>
        <v>13400.329999999998</v>
      </c>
      <c r="E28" s="179">
        <f>(0+(0)+(E13)+(E19)+(E26))-(0)</f>
        <v>11864.05</v>
      </c>
      <c r="F28" s="179">
        <f>(0+(0)+(F13)+(F19)+(F26))-(0)</f>
        <v>13986.05</v>
      </c>
      <c r="G28" s="3"/>
    </row>
    <row r="29" spans="1:7" ht="12.75" customHeight="1" thickTop="1" x14ac:dyDescent="0.25"/>
    <row r="30" spans="1:7" ht="12.75" customHeight="1" x14ac:dyDescent="0.25">
      <c r="A30" s="4" t="s">
        <v>1</v>
      </c>
    </row>
    <row r="31" spans="1:7" ht="12.75" customHeight="1" x14ac:dyDescent="0.25"/>
    <row r="32" spans="1:7" ht="12.75" customHeight="1" x14ac:dyDescent="0.25">
      <c r="A32" s="4" t="s">
        <v>43</v>
      </c>
    </row>
    <row r="33" spans="1:7" ht="12.75" customHeight="1" x14ac:dyDescent="0.25">
      <c r="A33" s="5" t="s">
        <v>142</v>
      </c>
      <c r="B33" s="5">
        <v>265</v>
      </c>
      <c r="C33" s="5">
        <v>0</v>
      </c>
      <c r="D33" s="5">
        <v>0</v>
      </c>
      <c r="E33" s="5">
        <v>0</v>
      </c>
      <c r="F33" s="5">
        <v>0</v>
      </c>
      <c r="G33" s="3"/>
    </row>
    <row r="34" spans="1:7" ht="12.75" customHeight="1" x14ac:dyDescent="0.25">
      <c r="A34" s="5" t="s">
        <v>80</v>
      </c>
      <c r="B34" s="5">
        <v>1580</v>
      </c>
      <c r="C34" s="5">
        <v>472</v>
      </c>
      <c r="D34" s="5">
        <v>591</v>
      </c>
      <c r="E34" s="5">
        <v>1533</v>
      </c>
      <c r="F34" s="5">
        <v>1603</v>
      </c>
      <c r="G34" s="3"/>
    </row>
    <row r="35" spans="1:7" ht="12.75" customHeight="1" x14ac:dyDescent="0.25">
      <c r="A35" s="5" t="s">
        <v>107</v>
      </c>
      <c r="B35" s="5">
        <v>1808</v>
      </c>
      <c r="C35" s="5">
        <v>1878</v>
      </c>
      <c r="D35" s="5">
        <v>1878</v>
      </c>
      <c r="E35" s="5">
        <v>1878</v>
      </c>
      <c r="F35" s="5">
        <v>2018</v>
      </c>
      <c r="G35" s="3"/>
    </row>
    <row r="36" spans="1:7" ht="12.75" customHeight="1" x14ac:dyDescent="0.25">
      <c r="A36" s="6" t="s">
        <v>44</v>
      </c>
      <c r="B36" s="178">
        <f>SUM(B33:B35)</f>
        <v>3653</v>
      </c>
      <c r="C36" s="178">
        <f>SUM(C33:C35)</f>
        <v>2350</v>
      </c>
      <c r="D36" s="178">
        <f>SUM(D33:D35)</f>
        <v>2469</v>
      </c>
      <c r="E36" s="178">
        <f>SUM(E33:E35)</f>
        <v>3411</v>
      </c>
      <c r="F36" s="178">
        <f>SUM(F33:F35)</f>
        <v>3621</v>
      </c>
      <c r="G36" s="3"/>
    </row>
    <row r="37" spans="1:7" ht="12.75" customHeight="1" x14ac:dyDescent="0.25"/>
    <row r="38" spans="1:7" ht="12.75" customHeight="1" thickBot="1" x14ac:dyDescent="0.3">
      <c r="A38" s="7" t="s">
        <v>14</v>
      </c>
      <c r="B38" s="179">
        <f>(0+(0)+(B36))-(0)</f>
        <v>3653</v>
      </c>
      <c r="C38" s="179">
        <f>(0+(0)+(C36))-(0)</f>
        <v>2350</v>
      </c>
      <c r="D38" s="179">
        <f>(0+(0)+(D36))-(0)</f>
        <v>2469</v>
      </c>
      <c r="E38" s="179">
        <f>(0+(0)+(E36))-(0)</f>
        <v>3411</v>
      </c>
      <c r="F38" s="179">
        <f>(0+(0)+(F36))-(0)</f>
        <v>3621</v>
      </c>
      <c r="G38" s="3"/>
    </row>
    <row r="39" spans="1:7" ht="12.75" customHeight="1" thickTop="1" x14ac:dyDescent="0.25"/>
    <row r="40" spans="1:7" ht="12.75" customHeight="1" thickBot="1" x14ac:dyDescent="0.3">
      <c r="A40" s="7" t="s">
        <v>45</v>
      </c>
      <c r="B40" s="179">
        <f>(B28)-(B38)</f>
        <v>9484.07</v>
      </c>
      <c r="C40" s="179">
        <f>(C28)-(C38)</f>
        <v>9305.4600000000009</v>
      </c>
      <c r="D40" s="179">
        <f>(D28)-(D38)</f>
        <v>10931.329999999998</v>
      </c>
      <c r="E40" s="179">
        <f>(E28)-(E38)</f>
        <v>8453.0499999999993</v>
      </c>
      <c r="F40" s="179">
        <f>(F28)-(F38)</f>
        <v>10365.049999999999</v>
      </c>
      <c r="G40" s="3"/>
    </row>
    <row r="41" spans="1:7" ht="12.75" customHeight="1" thickTop="1" x14ac:dyDescent="0.25"/>
    <row r="42" spans="1:7" ht="12.75" customHeight="1" x14ac:dyDescent="0.25">
      <c r="A42" s="4" t="s">
        <v>2</v>
      </c>
    </row>
    <row r="43" spans="1:7" ht="12.75" customHeight="1" x14ac:dyDescent="0.25">
      <c r="A43" s="5" t="s">
        <v>108</v>
      </c>
      <c r="B43" s="5">
        <v>400</v>
      </c>
      <c r="C43" s="5">
        <v>400</v>
      </c>
      <c r="D43" s="5">
        <v>400</v>
      </c>
      <c r="E43" s="5">
        <v>400</v>
      </c>
      <c r="F43" s="5">
        <v>400</v>
      </c>
      <c r="G43" s="3"/>
    </row>
    <row r="44" spans="1:7" ht="12.75" customHeight="1" x14ac:dyDescent="0.25">
      <c r="A44" s="5" t="s">
        <v>109</v>
      </c>
      <c r="B44" s="5">
        <v>-3497.56</v>
      </c>
      <c r="C44" s="5">
        <v>-3497.56</v>
      </c>
      <c r="D44" s="5">
        <v>-3497.56</v>
      </c>
      <c r="E44" s="5">
        <v>-5103.67</v>
      </c>
      <c r="F44" s="5">
        <v>-2903.67</v>
      </c>
      <c r="G44" s="3"/>
    </row>
    <row r="45" spans="1:7" ht="12.75" customHeight="1" x14ac:dyDescent="0.25">
      <c r="A45" s="5" t="s">
        <v>110</v>
      </c>
      <c r="B45" s="5">
        <v>-240</v>
      </c>
      <c r="C45" s="5">
        <v>-240</v>
      </c>
      <c r="D45" s="5">
        <v>-240</v>
      </c>
      <c r="E45" s="5">
        <v>-240</v>
      </c>
      <c r="F45" s="5">
        <v>-740</v>
      </c>
      <c r="G45" s="3"/>
    </row>
    <row r="46" spans="1:7" ht="12.75" customHeight="1" x14ac:dyDescent="0.25">
      <c r="A46" s="5" t="s">
        <v>111</v>
      </c>
      <c r="B46" s="5">
        <v>25000</v>
      </c>
      <c r="C46" s="5">
        <v>25000</v>
      </c>
      <c r="D46" s="5">
        <v>25000</v>
      </c>
      <c r="E46" s="5">
        <v>25000</v>
      </c>
      <c r="F46" s="5">
        <v>25000</v>
      </c>
      <c r="G46" s="3"/>
    </row>
    <row r="47" spans="1:7" ht="12.75" customHeight="1" x14ac:dyDescent="0.25">
      <c r="A47" s="5" t="s">
        <v>46</v>
      </c>
      <c r="B47" s="5">
        <v>872.28</v>
      </c>
      <c r="C47" s="5">
        <v>693.67</v>
      </c>
      <c r="D47" s="5">
        <v>2319.54</v>
      </c>
      <c r="E47" s="5">
        <v>1447.37</v>
      </c>
      <c r="F47" s="5">
        <v>1659.37</v>
      </c>
      <c r="G47" s="3"/>
    </row>
    <row r="48" spans="1:7" ht="12.75" customHeight="1" x14ac:dyDescent="0.25">
      <c r="A48" s="5" t="s">
        <v>112</v>
      </c>
      <c r="B48" s="5">
        <v>-13050.65</v>
      </c>
      <c r="C48" s="5">
        <v>-13050.65</v>
      </c>
      <c r="D48" s="5">
        <v>-13050.65</v>
      </c>
      <c r="E48" s="5">
        <v>-13050.65</v>
      </c>
      <c r="F48" s="5">
        <v>-13050.65</v>
      </c>
      <c r="G48" s="3"/>
    </row>
    <row r="49" spans="1:7" ht="12.75" customHeight="1" thickBot="1" x14ac:dyDescent="0.3">
      <c r="A49" s="7" t="s">
        <v>47</v>
      </c>
      <c r="B49" s="179">
        <f>SUM(B43:B48)</f>
        <v>9484.0699999999979</v>
      </c>
      <c r="C49" s="179">
        <f>SUM(C43:C48)</f>
        <v>9305.4599999999973</v>
      </c>
      <c r="D49" s="179">
        <f>SUM(D43:D48)</f>
        <v>10931.33</v>
      </c>
      <c r="E49" s="179">
        <f>SUM(E43:E48)</f>
        <v>8453.0500000000011</v>
      </c>
      <c r="F49" s="179">
        <f>SUM(F43:F48)</f>
        <v>10365.050000000001</v>
      </c>
      <c r="G49" s="3"/>
    </row>
    <row r="50" spans="1:7" ht="12.75" customHeight="1" thickTop="1" x14ac:dyDescent="0.25"/>
    <row r="51" spans="1:7" ht="12.75" customHeight="1" x14ac:dyDescent="0.25"/>
    <row r="52" spans="1:7" ht="12.75" customHeight="1" x14ac:dyDescent="0.25"/>
    <row r="53" spans="1:7" ht="12.75" customHeight="1" x14ac:dyDescent="0.25"/>
    <row r="54" spans="1:7" ht="12.75" customHeight="1" x14ac:dyDescent="0.25"/>
    <row r="55" spans="1:7" ht="12.75" customHeight="1" x14ac:dyDescent="0.25"/>
    <row r="56" spans="1:7" ht="12.75" customHeight="1" x14ac:dyDescent="0.25"/>
    <row r="57" spans="1:7" ht="12.75" customHeight="1" x14ac:dyDescent="0.25"/>
    <row r="58" spans="1:7" ht="12.75" customHeight="1" x14ac:dyDescent="0.25"/>
    <row r="59" spans="1:7" ht="12.75" customHeight="1" x14ac:dyDescent="0.25"/>
    <row r="60" spans="1:7" ht="12.75" customHeight="1" x14ac:dyDescent="0.25"/>
    <row r="61" spans="1:7" ht="12.75" customHeight="1" x14ac:dyDescent="0.25"/>
    <row r="62" spans="1:7" ht="12.75" customHeight="1" x14ac:dyDescent="0.25"/>
    <row r="63" spans="1:7" ht="12.75" customHeight="1" x14ac:dyDescent="0.25"/>
    <row r="64" spans="1:7" ht="12.75" customHeight="1" x14ac:dyDescent="0.25"/>
    <row r="65" ht="12.75" customHeight="1" x14ac:dyDescent="0.25"/>
    <row r="66" ht="12.75" customHeight="1" x14ac:dyDescent="0.25"/>
    <row r="67" ht="12.75" customHeight="1" x14ac:dyDescent="0.25"/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1"/>
  <sheetViews>
    <sheetView workbookViewId="0">
      <selection activeCell="E50" sqref="E50"/>
    </sheetView>
  </sheetViews>
  <sheetFormatPr defaultRowHeight="15" x14ac:dyDescent="0.25"/>
  <cols>
    <col min="1" max="1" width="23.85546875" style="1" customWidth="1"/>
    <col min="2" max="6" width="14.28515625" style="1" customWidth="1"/>
    <col min="7" max="256" width="9.140625" style="1"/>
    <col min="257" max="257" width="23.85546875" style="1" customWidth="1"/>
    <col min="258" max="262" width="14.28515625" style="1" customWidth="1"/>
    <col min="263" max="512" width="9.140625" style="1"/>
    <col min="513" max="513" width="23.85546875" style="1" customWidth="1"/>
    <col min="514" max="518" width="14.28515625" style="1" customWidth="1"/>
    <col min="519" max="768" width="9.140625" style="1"/>
    <col min="769" max="769" width="23.85546875" style="1" customWidth="1"/>
    <col min="770" max="774" width="14.28515625" style="1" customWidth="1"/>
    <col min="775" max="1024" width="9.140625" style="1"/>
    <col min="1025" max="1025" width="23.85546875" style="1" customWidth="1"/>
    <col min="1026" max="1030" width="14.28515625" style="1" customWidth="1"/>
    <col min="1031" max="1280" width="9.140625" style="1"/>
    <col min="1281" max="1281" width="23.85546875" style="1" customWidth="1"/>
    <col min="1282" max="1286" width="14.28515625" style="1" customWidth="1"/>
    <col min="1287" max="1536" width="9.140625" style="1"/>
    <col min="1537" max="1537" width="23.85546875" style="1" customWidth="1"/>
    <col min="1538" max="1542" width="14.28515625" style="1" customWidth="1"/>
    <col min="1543" max="1792" width="9.140625" style="1"/>
    <col min="1793" max="1793" width="23.85546875" style="1" customWidth="1"/>
    <col min="1794" max="1798" width="14.28515625" style="1" customWidth="1"/>
    <col min="1799" max="2048" width="9.140625" style="1"/>
    <col min="2049" max="2049" width="23.85546875" style="1" customWidth="1"/>
    <col min="2050" max="2054" width="14.28515625" style="1" customWidth="1"/>
    <col min="2055" max="2304" width="9.140625" style="1"/>
    <col min="2305" max="2305" width="23.85546875" style="1" customWidth="1"/>
    <col min="2306" max="2310" width="14.28515625" style="1" customWidth="1"/>
    <col min="2311" max="2560" width="9.140625" style="1"/>
    <col min="2561" max="2561" width="23.85546875" style="1" customWidth="1"/>
    <col min="2562" max="2566" width="14.28515625" style="1" customWidth="1"/>
    <col min="2567" max="2816" width="9.140625" style="1"/>
    <col min="2817" max="2817" width="23.85546875" style="1" customWidth="1"/>
    <col min="2818" max="2822" width="14.28515625" style="1" customWidth="1"/>
    <col min="2823" max="3072" width="9.140625" style="1"/>
    <col min="3073" max="3073" width="23.85546875" style="1" customWidth="1"/>
    <col min="3074" max="3078" width="14.28515625" style="1" customWidth="1"/>
    <col min="3079" max="3328" width="9.140625" style="1"/>
    <col min="3329" max="3329" width="23.85546875" style="1" customWidth="1"/>
    <col min="3330" max="3334" width="14.28515625" style="1" customWidth="1"/>
    <col min="3335" max="3584" width="9.140625" style="1"/>
    <col min="3585" max="3585" width="23.85546875" style="1" customWidth="1"/>
    <col min="3586" max="3590" width="14.28515625" style="1" customWidth="1"/>
    <col min="3591" max="3840" width="9.140625" style="1"/>
    <col min="3841" max="3841" width="23.85546875" style="1" customWidth="1"/>
    <col min="3842" max="3846" width="14.28515625" style="1" customWidth="1"/>
    <col min="3847" max="4096" width="9.140625" style="1"/>
    <col min="4097" max="4097" width="23.85546875" style="1" customWidth="1"/>
    <col min="4098" max="4102" width="14.28515625" style="1" customWidth="1"/>
    <col min="4103" max="4352" width="9.140625" style="1"/>
    <col min="4353" max="4353" width="23.85546875" style="1" customWidth="1"/>
    <col min="4354" max="4358" width="14.28515625" style="1" customWidth="1"/>
    <col min="4359" max="4608" width="9.140625" style="1"/>
    <col min="4609" max="4609" width="23.85546875" style="1" customWidth="1"/>
    <col min="4610" max="4614" width="14.28515625" style="1" customWidth="1"/>
    <col min="4615" max="4864" width="9.140625" style="1"/>
    <col min="4865" max="4865" width="23.85546875" style="1" customWidth="1"/>
    <col min="4866" max="4870" width="14.28515625" style="1" customWidth="1"/>
    <col min="4871" max="5120" width="9.140625" style="1"/>
    <col min="5121" max="5121" width="23.85546875" style="1" customWidth="1"/>
    <col min="5122" max="5126" width="14.28515625" style="1" customWidth="1"/>
    <col min="5127" max="5376" width="9.140625" style="1"/>
    <col min="5377" max="5377" width="23.85546875" style="1" customWidth="1"/>
    <col min="5378" max="5382" width="14.28515625" style="1" customWidth="1"/>
    <col min="5383" max="5632" width="9.140625" style="1"/>
    <col min="5633" max="5633" width="23.85546875" style="1" customWidth="1"/>
    <col min="5634" max="5638" width="14.28515625" style="1" customWidth="1"/>
    <col min="5639" max="5888" width="9.140625" style="1"/>
    <col min="5889" max="5889" width="23.85546875" style="1" customWidth="1"/>
    <col min="5890" max="5894" width="14.28515625" style="1" customWidth="1"/>
    <col min="5895" max="6144" width="9.140625" style="1"/>
    <col min="6145" max="6145" width="23.85546875" style="1" customWidth="1"/>
    <col min="6146" max="6150" width="14.28515625" style="1" customWidth="1"/>
    <col min="6151" max="6400" width="9.140625" style="1"/>
    <col min="6401" max="6401" width="23.85546875" style="1" customWidth="1"/>
    <col min="6402" max="6406" width="14.28515625" style="1" customWidth="1"/>
    <col min="6407" max="6656" width="9.140625" style="1"/>
    <col min="6657" max="6657" width="23.85546875" style="1" customWidth="1"/>
    <col min="6658" max="6662" width="14.28515625" style="1" customWidth="1"/>
    <col min="6663" max="6912" width="9.140625" style="1"/>
    <col min="6913" max="6913" width="23.85546875" style="1" customWidth="1"/>
    <col min="6914" max="6918" width="14.28515625" style="1" customWidth="1"/>
    <col min="6919" max="7168" width="9.140625" style="1"/>
    <col min="7169" max="7169" width="23.85546875" style="1" customWidth="1"/>
    <col min="7170" max="7174" width="14.28515625" style="1" customWidth="1"/>
    <col min="7175" max="7424" width="9.140625" style="1"/>
    <col min="7425" max="7425" width="23.85546875" style="1" customWidth="1"/>
    <col min="7426" max="7430" width="14.28515625" style="1" customWidth="1"/>
    <col min="7431" max="7680" width="9.140625" style="1"/>
    <col min="7681" max="7681" width="23.85546875" style="1" customWidth="1"/>
    <col min="7682" max="7686" width="14.28515625" style="1" customWidth="1"/>
    <col min="7687" max="7936" width="9.140625" style="1"/>
    <col min="7937" max="7937" width="23.85546875" style="1" customWidth="1"/>
    <col min="7938" max="7942" width="14.28515625" style="1" customWidth="1"/>
    <col min="7943" max="8192" width="9.140625" style="1"/>
    <col min="8193" max="8193" width="23.85546875" style="1" customWidth="1"/>
    <col min="8194" max="8198" width="14.28515625" style="1" customWidth="1"/>
    <col min="8199" max="8448" width="9.140625" style="1"/>
    <col min="8449" max="8449" width="23.85546875" style="1" customWidth="1"/>
    <col min="8450" max="8454" width="14.28515625" style="1" customWidth="1"/>
    <col min="8455" max="8704" width="9.140625" style="1"/>
    <col min="8705" max="8705" width="23.85546875" style="1" customWidth="1"/>
    <col min="8706" max="8710" width="14.28515625" style="1" customWidth="1"/>
    <col min="8711" max="8960" width="9.140625" style="1"/>
    <col min="8961" max="8961" width="23.85546875" style="1" customWidth="1"/>
    <col min="8962" max="8966" width="14.28515625" style="1" customWidth="1"/>
    <col min="8967" max="9216" width="9.140625" style="1"/>
    <col min="9217" max="9217" width="23.85546875" style="1" customWidth="1"/>
    <col min="9218" max="9222" width="14.28515625" style="1" customWidth="1"/>
    <col min="9223" max="9472" width="9.140625" style="1"/>
    <col min="9473" max="9473" width="23.85546875" style="1" customWidth="1"/>
    <col min="9474" max="9478" width="14.28515625" style="1" customWidth="1"/>
    <col min="9479" max="9728" width="9.140625" style="1"/>
    <col min="9729" max="9729" width="23.85546875" style="1" customWidth="1"/>
    <col min="9730" max="9734" width="14.28515625" style="1" customWidth="1"/>
    <col min="9735" max="9984" width="9.140625" style="1"/>
    <col min="9985" max="9985" width="23.85546875" style="1" customWidth="1"/>
    <col min="9986" max="9990" width="14.28515625" style="1" customWidth="1"/>
    <col min="9991" max="10240" width="9.140625" style="1"/>
    <col min="10241" max="10241" width="23.85546875" style="1" customWidth="1"/>
    <col min="10242" max="10246" width="14.28515625" style="1" customWidth="1"/>
    <col min="10247" max="10496" width="9.140625" style="1"/>
    <col min="10497" max="10497" width="23.85546875" style="1" customWidth="1"/>
    <col min="10498" max="10502" width="14.28515625" style="1" customWidth="1"/>
    <col min="10503" max="10752" width="9.140625" style="1"/>
    <col min="10753" max="10753" width="23.85546875" style="1" customWidth="1"/>
    <col min="10754" max="10758" width="14.28515625" style="1" customWidth="1"/>
    <col min="10759" max="11008" width="9.140625" style="1"/>
    <col min="11009" max="11009" width="23.85546875" style="1" customWidth="1"/>
    <col min="11010" max="11014" width="14.28515625" style="1" customWidth="1"/>
    <col min="11015" max="11264" width="9.140625" style="1"/>
    <col min="11265" max="11265" width="23.85546875" style="1" customWidth="1"/>
    <col min="11266" max="11270" width="14.28515625" style="1" customWidth="1"/>
    <col min="11271" max="11520" width="9.140625" style="1"/>
    <col min="11521" max="11521" width="23.85546875" style="1" customWidth="1"/>
    <col min="11522" max="11526" width="14.28515625" style="1" customWidth="1"/>
    <col min="11527" max="11776" width="9.140625" style="1"/>
    <col min="11777" max="11777" width="23.85546875" style="1" customWidth="1"/>
    <col min="11778" max="11782" width="14.28515625" style="1" customWidth="1"/>
    <col min="11783" max="12032" width="9.140625" style="1"/>
    <col min="12033" max="12033" width="23.85546875" style="1" customWidth="1"/>
    <col min="12034" max="12038" width="14.28515625" style="1" customWidth="1"/>
    <col min="12039" max="12288" width="9.140625" style="1"/>
    <col min="12289" max="12289" width="23.85546875" style="1" customWidth="1"/>
    <col min="12290" max="12294" width="14.28515625" style="1" customWidth="1"/>
    <col min="12295" max="12544" width="9.140625" style="1"/>
    <col min="12545" max="12545" width="23.85546875" style="1" customWidth="1"/>
    <col min="12546" max="12550" width="14.28515625" style="1" customWidth="1"/>
    <col min="12551" max="12800" width="9.140625" style="1"/>
    <col min="12801" max="12801" width="23.85546875" style="1" customWidth="1"/>
    <col min="12802" max="12806" width="14.28515625" style="1" customWidth="1"/>
    <col min="12807" max="13056" width="9.140625" style="1"/>
    <col min="13057" max="13057" width="23.85546875" style="1" customWidth="1"/>
    <col min="13058" max="13062" width="14.28515625" style="1" customWidth="1"/>
    <col min="13063" max="13312" width="9.140625" style="1"/>
    <col min="13313" max="13313" width="23.85546875" style="1" customWidth="1"/>
    <col min="13314" max="13318" width="14.28515625" style="1" customWidth="1"/>
    <col min="13319" max="13568" width="9.140625" style="1"/>
    <col min="13569" max="13569" width="23.85546875" style="1" customWidth="1"/>
    <col min="13570" max="13574" width="14.28515625" style="1" customWidth="1"/>
    <col min="13575" max="13824" width="9.140625" style="1"/>
    <col min="13825" max="13825" width="23.85546875" style="1" customWidth="1"/>
    <col min="13826" max="13830" width="14.28515625" style="1" customWidth="1"/>
    <col min="13831" max="14080" width="9.140625" style="1"/>
    <col min="14081" max="14081" width="23.85546875" style="1" customWidth="1"/>
    <col min="14082" max="14086" width="14.28515625" style="1" customWidth="1"/>
    <col min="14087" max="14336" width="9.140625" style="1"/>
    <col min="14337" max="14337" width="23.85546875" style="1" customWidth="1"/>
    <col min="14338" max="14342" width="14.28515625" style="1" customWidth="1"/>
    <col min="14343" max="14592" width="9.140625" style="1"/>
    <col min="14593" max="14593" width="23.85546875" style="1" customWidth="1"/>
    <col min="14594" max="14598" width="14.28515625" style="1" customWidth="1"/>
    <col min="14599" max="14848" width="9.140625" style="1"/>
    <col min="14849" max="14849" width="23.85546875" style="1" customWidth="1"/>
    <col min="14850" max="14854" width="14.28515625" style="1" customWidth="1"/>
    <col min="14855" max="15104" width="9.140625" style="1"/>
    <col min="15105" max="15105" width="23.85546875" style="1" customWidth="1"/>
    <col min="15106" max="15110" width="14.28515625" style="1" customWidth="1"/>
    <col min="15111" max="15360" width="9.140625" style="1"/>
    <col min="15361" max="15361" width="23.85546875" style="1" customWidth="1"/>
    <col min="15362" max="15366" width="14.28515625" style="1" customWidth="1"/>
    <col min="15367" max="15616" width="9.140625" style="1"/>
    <col min="15617" max="15617" width="23.85546875" style="1" customWidth="1"/>
    <col min="15618" max="15622" width="14.28515625" style="1" customWidth="1"/>
    <col min="15623" max="15872" width="9.140625" style="1"/>
    <col min="15873" max="15873" width="23.85546875" style="1" customWidth="1"/>
    <col min="15874" max="15878" width="14.28515625" style="1" customWidth="1"/>
    <col min="15879" max="16128" width="9.140625" style="1"/>
    <col min="16129" max="16129" width="23.85546875" style="1" customWidth="1"/>
    <col min="16130" max="16134" width="14.28515625" style="1" customWidth="1"/>
    <col min="16135" max="16384" width="9.140625" style="1"/>
  </cols>
  <sheetData>
    <row r="1" spans="1:7" ht="12.75" customHeight="1" x14ac:dyDescent="0.25">
      <c r="A1" s="222" t="s">
        <v>48</v>
      </c>
      <c r="B1" s="222"/>
      <c r="C1" s="222"/>
      <c r="D1" s="222"/>
      <c r="E1" s="222"/>
      <c r="F1" s="222"/>
    </row>
    <row r="2" spans="1:7" ht="12.75" customHeight="1" x14ac:dyDescent="0.25">
      <c r="A2" s="223" t="s">
        <v>92</v>
      </c>
      <c r="B2" s="223"/>
      <c r="C2" s="223"/>
      <c r="D2" s="223"/>
      <c r="E2" s="223"/>
      <c r="F2" s="223"/>
    </row>
    <row r="3" spans="1:7" ht="12.75" customHeight="1" x14ac:dyDescent="0.25">
      <c r="A3" s="223" t="s">
        <v>138</v>
      </c>
      <c r="B3" s="223"/>
      <c r="C3" s="223"/>
      <c r="D3" s="223"/>
      <c r="E3" s="223"/>
      <c r="F3" s="223"/>
    </row>
    <row r="4" spans="1:7" ht="12.75" customHeight="1" x14ac:dyDescent="0.25"/>
    <row r="5" spans="1:7" ht="12.75" customHeight="1" x14ac:dyDescent="0.25">
      <c r="A5" s="2"/>
      <c r="B5" s="2" t="s">
        <v>139</v>
      </c>
      <c r="C5" s="2" t="s">
        <v>91</v>
      </c>
      <c r="D5" s="2" t="s">
        <v>64</v>
      </c>
      <c r="E5" s="2" t="s">
        <v>65</v>
      </c>
      <c r="F5" s="2" t="s">
        <v>66</v>
      </c>
      <c r="G5" s="3"/>
    </row>
    <row r="6" spans="1:7" ht="12.75" customHeight="1" x14ac:dyDescent="0.25"/>
    <row r="7" spans="1:7" ht="12.75" customHeight="1" x14ac:dyDescent="0.25">
      <c r="A7" s="4" t="s">
        <v>49</v>
      </c>
    </row>
    <row r="8" spans="1:7" ht="12.75" customHeight="1" x14ac:dyDescent="0.25">
      <c r="A8" s="5" t="s">
        <v>67</v>
      </c>
      <c r="B8" s="5">
        <v>0</v>
      </c>
      <c r="C8" s="5">
        <v>0</v>
      </c>
      <c r="D8" s="5">
        <v>3</v>
      </c>
      <c r="E8" s="5">
        <v>0</v>
      </c>
      <c r="F8" s="5">
        <v>3</v>
      </c>
      <c r="G8" s="3"/>
    </row>
    <row r="9" spans="1:7" ht="12.75" customHeight="1" x14ac:dyDescent="0.25">
      <c r="A9" s="5" t="s">
        <v>93</v>
      </c>
      <c r="B9" s="5">
        <v>2925</v>
      </c>
      <c r="C9" s="5">
        <v>2872.75</v>
      </c>
      <c r="D9" s="5">
        <v>3040.75</v>
      </c>
      <c r="E9" s="5">
        <v>2635</v>
      </c>
      <c r="F9" s="5">
        <v>17239.150000000001</v>
      </c>
      <c r="G9" s="3"/>
    </row>
    <row r="10" spans="1:7" ht="12.75" customHeight="1" x14ac:dyDescent="0.25">
      <c r="A10" s="6" t="s">
        <v>50</v>
      </c>
      <c r="B10" s="178">
        <f>SUM(B8:B9)</f>
        <v>2925</v>
      </c>
      <c r="C10" s="178">
        <f>SUM(C8:C9)</f>
        <v>2872.75</v>
      </c>
      <c r="D10" s="178">
        <f>SUM(D8:D9)</f>
        <v>3043.75</v>
      </c>
      <c r="E10" s="178">
        <f>SUM(E8:E9)</f>
        <v>2635</v>
      </c>
      <c r="F10" s="178">
        <f>SUM(F8:F9)</f>
        <v>17242.150000000001</v>
      </c>
      <c r="G10" s="3"/>
    </row>
    <row r="11" spans="1:7" ht="12.75" customHeight="1" x14ac:dyDescent="0.25"/>
    <row r="12" spans="1:7" ht="12.75" customHeight="1" x14ac:dyDescent="0.25">
      <c r="A12" s="4" t="s">
        <v>51</v>
      </c>
    </row>
    <row r="13" spans="1:7" ht="12.75" customHeight="1" x14ac:dyDescent="0.25">
      <c r="A13" s="5" t="s">
        <v>94</v>
      </c>
      <c r="B13" s="5">
        <v>186.9</v>
      </c>
      <c r="C13" s="5">
        <v>178.82</v>
      </c>
      <c r="D13" s="5">
        <v>210.97</v>
      </c>
      <c r="E13" s="5">
        <v>177.65</v>
      </c>
      <c r="F13" s="5">
        <v>1151.25</v>
      </c>
      <c r="G13" s="3"/>
    </row>
    <row r="14" spans="1:7" ht="12.75" customHeight="1" x14ac:dyDescent="0.25">
      <c r="A14" s="5" t="s">
        <v>95</v>
      </c>
      <c r="B14" s="5">
        <v>1380</v>
      </c>
      <c r="C14" s="5">
        <v>1272</v>
      </c>
      <c r="D14" s="5">
        <v>1191</v>
      </c>
      <c r="E14" s="5">
        <v>1330</v>
      </c>
      <c r="F14" s="5">
        <v>7581</v>
      </c>
      <c r="G14" s="3"/>
    </row>
    <row r="15" spans="1:7" ht="12.75" customHeight="1" x14ac:dyDescent="0.25">
      <c r="A15" s="5" t="s">
        <v>70</v>
      </c>
      <c r="B15" s="5">
        <v>217</v>
      </c>
      <c r="C15" s="5">
        <v>1027</v>
      </c>
      <c r="D15" s="5">
        <v>56.5</v>
      </c>
      <c r="E15" s="5">
        <v>560.5</v>
      </c>
      <c r="F15" s="5">
        <v>1930.5</v>
      </c>
      <c r="G15" s="3"/>
    </row>
    <row r="16" spans="1:7" ht="12.75" customHeight="1" x14ac:dyDescent="0.25">
      <c r="A16" s="5" t="s">
        <v>57</v>
      </c>
      <c r="B16" s="5">
        <v>156.85</v>
      </c>
      <c r="C16" s="5">
        <v>204.42</v>
      </c>
      <c r="D16" s="5">
        <v>175.53</v>
      </c>
      <c r="E16" s="5">
        <v>157.63999999999999</v>
      </c>
      <c r="F16" s="5">
        <v>950.59</v>
      </c>
      <c r="G16" s="3"/>
    </row>
    <row r="17" spans="1:7" ht="12.75" customHeight="1" x14ac:dyDescent="0.25">
      <c r="A17" s="6" t="s">
        <v>53</v>
      </c>
      <c r="B17" s="178">
        <f>SUM(B13:B16)</f>
        <v>1940.75</v>
      </c>
      <c r="C17" s="178">
        <f>SUM(C13:C16)</f>
        <v>2682.24</v>
      </c>
      <c r="D17" s="178">
        <f>SUM(D13:D16)</f>
        <v>1634</v>
      </c>
      <c r="E17" s="178">
        <f>SUM(E13:E16)</f>
        <v>2225.79</v>
      </c>
      <c r="F17" s="178">
        <f>SUM(F13:F16)</f>
        <v>11613.34</v>
      </c>
      <c r="G17" s="3"/>
    </row>
    <row r="18" spans="1:7" ht="12.75" customHeight="1" x14ac:dyDescent="0.25"/>
    <row r="19" spans="1:7" ht="12.75" customHeight="1" thickBot="1" x14ac:dyDescent="0.3">
      <c r="A19" s="7" t="s">
        <v>23</v>
      </c>
      <c r="B19" s="179">
        <f>(B10)-(B17)</f>
        <v>984.25</v>
      </c>
      <c r="C19" s="179">
        <f>(C10)-(C17)</f>
        <v>190.51000000000022</v>
      </c>
      <c r="D19" s="179">
        <f>(D10)-(D17)</f>
        <v>1409.75</v>
      </c>
      <c r="E19" s="179">
        <f>(E10)-(E17)</f>
        <v>409.21000000000004</v>
      </c>
      <c r="F19" s="179">
        <f>(F10)-(F17)</f>
        <v>5628.8100000000013</v>
      </c>
      <c r="G19" s="3"/>
    </row>
    <row r="20" spans="1:7" ht="12.75" customHeight="1" thickTop="1" x14ac:dyDescent="0.25"/>
    <row r="21" spans="1:7" ht="12.75" customHeight="1" x14ac:dyDescent="0.25">
      <c r="A21" s="4" t="s">
        <v>54</v>
      </c>
    </row>
    <row r="22" spans="1:7" ht="12.75" customHeight="1" x14ac:dyDescent="0.25">
      <c r="A22" s="5" t="s">
        <v>68</v>
      </c>
      <c r="B22" s="5">
        <v>200</v>
      </c>
      <c r="C22" s="5">
        <v>200</v>
      </c>
      <c r="D22" s="5">
        <v>200</v>
      </c>
      <c r="E22" s="5">
        <v>200</v>
      </c>
      <c r="F22" s="5">
        <v>1200</v>
      </c>
      <c r="G22" s="3"/>
    </row>
    <row r="23" spans="1:7" ht="12.75" customHeight="1" x14ac:dyDescent="0.25">
      <c r="A23" s="5" t="s">
        <v>96</v>
      </c>
      <c r="B23" s="5">
        <v>0.5</v>
      </c>
      <c r="C23" s="5">
        <v>1.8</v>
      </c>
      <c r="D23" s="5">
        <v>3.48</v>
      </c>
      <c r="E23" s="5">
        <v>0.3</v>
      </c>
      <c r="F23" s="5">
        <v>7.23</v>
      </c>
      <c r="G23" s="3"/>
    </row>
    <row r="24" spans="1:7" ht="12.75" customHeight="1" x14ac:dyDescent="0.25">
      <c r="A24" s="5" t="s">
        <v>55</v>
      </c>
      <c r="B24" s="5">
        <v>0</v>
      </c>
      <c r="C24" s="5">
        <v>115</v>
      </c>
      <c r="D24" s="5">
        <v>0</v>
      </c>
      <c r="E24" s="5">
        <v>90</v>
      </c>
      <c r="F24" s="5">
        <v>265</v>
      </c>
      <c r="G24" s="3"/>
    </row>
    <row r="25" spans="1:7" ht="12.75" customHeight="1" x14ac:dyDescent="0.25">
      <c r="A25" s="5" t="s">
        <v>97</v>
      </c>
      <c r="B25" s="5">
        <v>200.99</v>
      </c>
      <c r="C25" s="5">
        <v>201.02</v>
      </c>
      <c r="D25" s="5">
        <v>200.99</v>
      </c>
      <c r="E25" s="5">
        <v>200.99</v>
      </c>
      <c r="F25" s="5">
        <v>1206</v>
      </c>
      <c r="G25" s="3"/>
    </row>
    <row r="26" spans="1:7" ht="12.75" customHeight="1" x14ac:dyDescent="0.25">
      <c r="A26" s="5" t="s">
        <v>98</v>
      </c>
      <c r="B26" s="5">
        <v>29.15</v>
      </c>
      <c r="C26" s="5">
        <v>38.770000000000003</v>
      </c>
      <c r="D26" s="5">
        <v>44.06</v>
      </c>
      <c r="E26" s="5">
        <v>44.08</v>
      </c>
      <c r="F26" s="5">
        <v>244.22</v>
      </c>
      <c r="G26" s="3"/>
    </row>
    <row r="27" spans="1:7" ht="12.75" customHeight="1" x14ac:dyDescent="0.25">
      <c r="A27" s="5" t="s">
        <v>99</v>
      </c>
      <c r="B27" s="5">
        <v>0</v>
      </c>
      <c r="C27" s="5">
        <v>240</v>
      </c>
      <c r="D27" s="5">
        <v>0</v>
      </c>
      <c r="E27" s="5">
        <v>0</v>
      </c>
      <c r="F27" s="5">
        <v>240</v>
      </c>
      <c r="G27" s="3"/>
    </row>
    <row r="28" spans="1:7" ht="12.75" customHeight="1" x14ac:dyDescent="0.25">
      <c r="A28" s="5" t="s">
        <v>56</v>
      </c>
      <c r="B28" s="5">
        <v>47</v>
      </c>
      <c r="C28" s="5">
        <v>155</v>
      </c>
      <c r="D28" s="5">
        <v>40</v>
      </c>
      <c r="E28" s="5">
        <v>0</v>
      </c>
      <c r="F28" s="5">
        <v>242</v>
      </c>
      <c r="G28" s="3"/>
    </row>
    <row r="29" spans="1:7" ht="12.75" customHeight="1" x14ac:dyDescent="0.25">
      <c r="A29" s="5" t="s">
        <v>69</v>
      </c>
      <c r="B29" s="5">
        <v>0</v>
      </c>
      <c r="C29" s="5">
        <v>0</v>
      </c>
      <c r="D29" s="5">
        <v>0</v>
      </c>
      <c r="E29" s="5">
        <v>0.77</v>
      </c>
      <c r="F29" s="5">
        <v>5.17</v>
      </c>
      <c r="G29" s="3"/>
    </row>
    <row r="30" spans="1:7" ht="12.75" customHeight="1" x14ac:dyDescent="0.25">
      <c r="A30" s="5" t="s">
        <v>25</v>
      </c>
      <c r="B30" s="5">
        <v>0</v>
      </c>
      <c r="C30" s="5">
        <v>160.80000000000001</v>
      </c>
      <c r="D30" s="5">
        <v>0</v>
      </c>
      <c r="E30" s="5">
        <v>0</v>
      </c>
      <c r="F30" s="5">
        <v>160.80000000000001</v>
      </c>
      <c r="G30" s="3"/>
    </row>
    <row r="31" spans="1:7" ht="12.75" customHeight="1" x14ac:dyDescent="0.25">
      <c r="A31" s="5" t="s">
        <v>4</v>
      </c>
      <c r="B31" s="5">
        <v>0</v>
      </c>
      <c r="C31" s="5">
        <v>307.89999999999998</v>
      </c>
      <c r="D31" s="5">
        <v>37</v>
      </c>
      <c r="E31" s="5">
        <v>33.4</v>
      </c>
      <c r="F31" s="5">
        <v>398.3</v>
      </c>
      <c r="G31" s="3"/>
    </row>
    <row r="32" spans="1:7" ht="12.75" customHeight="1" x14ac:dyDescent="0.25">
      <c r="A32" s="5" t="s">
        <v>100</v>
      </c>
      <c r="B32" s="5">
        <v>328</v>
      </c>
      <c r="C32" s="5">
        <v>74.09</v>
      </c>
      <c r="D32" s="5">
        <v>12.05</v>
      </c>
      <c r="E32" s="5">
        <v>51.67</v>
      </c>
      <c r="F32" s="5">
        <v>465.81</v>
      </c>
      <c r="G32" s="3"/>
    </row>
    <row r="33" spans="1:7" ht="12.75" customHeight="1" x14ac:dyDescent="0.25">
      <c r="A33" s="5" t="s">
        <v>58</v>
      </c>
      <c r="B33" s="5">
        <v>0</v>
      </c>
      <c r="C33" s="5">
        <v>322</v>
      </c>
      <c r="D33" s="5">
        <v>0</v>
      </c>
      <c r="E33" s="5">
        <v>0</v>
      </c>
      <c r="F33" s="5">
        <v>322</v>
      </c>
      <c r="G33" s="3"/>
    </row>
    <row r="34" spans="1:7" ht="12.75" customHeight="1" x14ac:dyDescent="0.25">
      <c r="A34" s="6" t="s">
        <v>31</v>
      </c>
      <c r="B34" s="178">
        <f>SUM(B22:B33)</f>
        <v>805.64</v>
      </c>
      <c r="C34" s="178">
        <f>SUM(C22:C33)</f>
        <v>1816.3799999999999</v>
      </c>
      <c r="D34" s="178">
        <f>SUM(D22:D33)</f>
        <v>537.57999999999993</v>
      </c>
      <c r="E34" s="178">
        <f>SUM(E22:E33)</f>
        <v>621.20999999999992</v>
      </c>
      <c r="F34" s="178">
        <f>SUM(F22:F33)</f>
        <v>4756.5300000000007</v>
      </c>
      <c r="G34" s="3"/>
    </row>
    <row r="35" spans="1:7" ht="12.75" customHeight="1" x14ac:dyDescent="0.25"/>
    <row r="36" spans="1:7" ht="12.75" customHeight="1" thickBot="1" x14ac:dyDescent="0.3">
      <c r="A36" s="7" t="s">
        <v>32</v>
      </c>
      <c r="B36" s="179">
        <f>(B19)+(0)-(B34)+(0)-(0)</f>
        <v>178.61</v>
      </c>
      <c r="C36" s="179">
        <f>(C19)+(0)-(C34)+(0)-(0)</f>
        <v>-1625.8699999999997</v>
      </c>
      <c r="D36" s="179">
        <f>(D19)+(0)-(D34)+(0)-(0)</f>
        <v>872.17000000000007</v>
      </c>
      <c r="E36" s="179">
        <f>(E19)+(0)-(E34)+(0)-(0)</f>
        <v>-211.99999999999989</v>
      </c>
      <c r="F36" s="179">
        <f>(F19)+(0)-(F34)+(0)-(0)</f>
        <v>872.28000000000065</v>
      </c>
      <c r="G36" s="3"/>
    </row>
    <row r="37" spans="1:7" ht="12.75" customHeight="1" thickTop="1" x14ac:dyDescent="0.25"/>
    <row r="38" spans="1:7" ht="12.75" customHeight="1" x14ac:dyDescent="0.25"/>
    <row r="39" spans="1:7" ht="12.75" customHeight="1" x14ac:dyDescent="0.25"/>
    <row r="40" spans="1:7" ht="12.75" customHeight="1" x14ac:dyDescent="0.25"/>
    <row r="41" spans="1:7" ht="12.75" customHeight="1" x14ac:dyDescent="0.25"/>
    <row r="42" spans="1:7" ht="12.75" customHeight="1" x14ac:dyDescent="0.25"/>
    <row r="43" spans="1:7" ht="12.75" customHeight="1" x14ac:dyDescent="0.25"/>
    <row r="44" spans="1:7" ht="12.75" customHeight="1" x14ac:dyDescent="0.25"/>
    <row r="45" spans="1:7" ht="12.75" customHeight="1" x14ac:dyDescent="0.25"/>
    <row r="46" spans="1:7" ht="12.75" customHeight="1" x14ac:dyDescent="0.25"/>
    <row r="47" spans="1:7" ht="12.75" customHeight="1" x14ac:dyDescent="0.25"/>
    <row r="48" spans="1:7" ht="12.75" customHeight="1" x14ac:dyDescent="0.25"/>
    <row r="49" ht="12.75" customHeight="1" x14ac:dyDescent="0.25"/>
    <row r="50" ht="12.75" customHeight="1" x14ac:dyDescent="0.25"/>
    <row r="51" ht="12.75" customHeight="1" x14ac:dyDescent="0.25"/>
  </sheetData>
  <mergeCells count="3">
    <mergeCell ref="A1:F1"/>
    <mergeCell ref="A2:F2"/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Top page</vt:lpstr>
      <vt:lpstr>Balance Sheet</vt:lpstr>
      <vt:lpstr>Income Statement</vt:lpstr>
      <vt:lpstr>Financial Highlights</vt:lpstr>
      <vt:lpstr>BS Xero</vt:lpstr>
      <vt:lpstr>IS Xero</vt:lpstr>
      <vt:lpstr>'Balance Sheet'!Print_Area</vt:lpstr>
      <vt:lpstr>'Financial Highlights'!Print_Area</vt:lpstr>
      <vt:lpstr>'Income Statement'!Print_Area</vt:lpstr>
      <vt:lpstr>'Top page'!Print_Area</vt:lpstr>
      <vt:lpstr>'Financial Highlights'!Print_Titles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2017-08-29T09:16:08Z</dcterms:modified>
</cp:coreProperties>
</file>